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4"/>
  </bookViews>
  <sheets>
    <sheet name="MPG-3" sheetId="1" r:id="rId1"/>
    <sheet name="MPG-21 1 of 3" sheetId="2" r:id="rId2"/>
    <sheet name="MPG-21 2 of 3" sheetId="3" r:id="rId3"/>
    <sheet name="MPG-21 3 of 3" sheetId="4" r:id="rId4"/>
    <sheet name="Actual Cap. Str." sheetId="5" r:id="rId5"/>
  </sheets>
  <definedNames>
    <definedName name="EV__LASTREFTIME__" hidden="1">39198.5712152778</definedName>
    <definedName name="PAGE3">#REF!</definedName>
    <definedName name="PAGE4">#REF!</definedName>
    <definedName name="_xlnm.Print_Area" localSheetId="1">'MPG-21 1 of 3'!$A$1:$H$35</definedName>
    <definedName name="_xlnm.Print_Area" localSheetId="2">'MPG-21 2 of 3'!$A$1:$F$22</definedName>
    <definedName name="_xlnm.Print_Area" localSheetId="0">'MPG-3'!$A$1:$F$21</definedName>
  </definedNames>
  <calcPr fullCalcOnLoad="1"/>
</workbook>
</file>

<file path=xl/sharedStrings.xml><?xml version="1.0" encoding="utf-8"?>
<sst xmlns="http://schemas.openxmlformats.org/spreadsheetml/2006/main" count="168" uniqueCount="102">
  <si>
    <t>Amount</t>
  </si>
  <si>
    <t>(1)</t>
  </si>
  <si>
    <t>Weight</t>
  </si>
  <si>
    <t>(2)</t>
  </si>
  <si>
    <t>(3)</t>
  </si>
  <si>
    <t>Cost</t>
  </si>
  <si>
    <t>Description</t>
  </si>
  <si>
    <t>Line</t>
  </si>
  <si>
    <t>Source:</t>
  </si>
  <si>
    <t>Weighted Common Return</t>
  </si>
  <si>
    <t>Income to Common</t>
  </si>
  <si>
    <t>Weighted Interest Rate</t>
  </si>
  <si>
    <t>Interest Expense</t>
  </si>
  <si>
    <t>FFO Plus Interest</t>
  </si>
  <si>
    <t>FFO Interest Coverage</t>
  </si>
  <si>
    <t>Total Debt Ratio</t>
  </si>
  <si>
    <t>FFO to Total Debt</t>
  </si>
  <si>
    <t>S&amp;P</t>
  </si>
  <si>
    <t>"A" Rating</t>
  </si>
  <si>
    <t>Equity Return</t>
  </si>
  <si>
    <t>Benchmark*</t>
  </si>
  <si>
    <t>Funds from Operations (FFO)</t>
  </si>
  <si>
    <t>Weighted</t>
  </si>
  <si>
    <t xml:space="preserve">Cost </t>
  </si>
  <si>
    <t>Total</t>
  </si>
  <si>
    <t xml:space="preserve">Source: </t>
  </si>
  <si>
    <t>"BBB" Rating</t>
  </si>
  <si>
    <t>Reference</t>
  </si>
  <si>
    <t>Long-Term Debt</t>
  </si>
  <si>
    <t>Common Stock</t>
  </si>
  <si>
    <t>(4)</t>
  </si>
  <si>
    <t>Depreciation &amp; Amortization</t>
  </si>
  <si>
    <t>Thereafter</t>
  </si>
  <si>
    <t>OBS Imputed Amortization</t>
  </si>
  <si>
    <t>Imputed OBS Interest Expense</t>
  </si>
  <si>
    <t>Line 7 + Line 9 + Line 10.</t>
  </si>
  <si>
    <t>Sum of Line 3 through Line 6.</t>
  </si>
  <si>
    <t>Line 10 / (Line 9 + Line 10).</t>
  </si>
  <si>
    <t>Line 7 / (Line 1 x Line 13).</t>
  </si>
  <si>
    <t>Imputed Interest Expense</t>
  </si>
  <si>
    <t>Imputed Amortization</t>
  </si>
  <si>
    <t>(5)</t>
  </si>
  <si>
    <t>Net Present Value</t>
  </si>
  <si>
    <t>Preferred Stock</t>
  </si>
  <si>
    <t>Descrition</t>
  </si>
  <si>
    <t>2002Y</t>
  </si>
  <si>
    <t>2003Y</t>
  </si>
  <si>
    <t>2004Y</t>
  </si>
  <si>
    <t>2005Y</t>
  </si>
  <si>
    <t>2006Y</t>
  </si>
  <si>
    <t>2007Q3</t>
  </si>
  <si>
    <t>(6)</t>
  </si>
  <si>
    <t>Short-Term Debt</t>
  </si>
  <si>
    <t>Common Equity</t>
  </si>
  <si>
    <t>Line 1 x Line 2.</t>
  </si>
  <si>
    <t>S&amp;P Credit Rating Financial Ratios</t>
  </si>
  <si>
    <t>Off-Balance Sheet Debt</t>
  </si>
  <si>
    <t>Historical Capital Structure</t>
  </si>
  <si>
    <t>Financial Capital Structure</t>
  </si>
  <si>
    <t>Regulatory Capital Structure</t>
  </si>
  <si>
    <t>Puget Sound Energy</t>
  </si>
  <si>
    <t>Exhibit No. ___(DEG-5C), Page 1 of 9.</t>
  </si>
  <si>
    <t>Rate Base (Electric &amp; Gas)</t>
  </si>
  <si>
    <t>Ratio at 10.0%</t>
  </si>
  <si>
    <t>Deferred Taxes</t>
  </si>
  <si>
    <t>Exhibit No. ___(KRK-4) and (JHS-4).</t>
  </si>
  <si>
    <t>Business Profile Score (BPS) of '4'</t>
  </si>
  <si>
    <t>4.2x - 3.5x</t>
  </si>
  <si>
    <t>3.5x - 2.5x</t>
  </si>
  <si>
    <t>45% - 52%</t>
  </si>
  <si>
    <t>52% - 62%</t>
  </si>
  <si>
    <t>28% - 20%</t>
  </si>
  <si>
    <t>20% - 12%</t>
  </si>
  <si>
    <t>"Aggressive"</t>
  </si>
  <si>
    <t>New S&amp;P</t>
  </si>
  <si>
    <t>Benchmark**</t>
  </si>
  <si>
    <t>3.5x - 2.0x</t>
  </si>
  <si>
    <t>45% - 60%</t>
  </si>
  <si>
    <t>30% - 10%</t>
  </si>
  <si>
    <t>"Excellent"</t>
  </si>
  <si>
    <t>Remaining Years</t>
  </si>
  <si>
    <t>Discount Rate</t>
  </si>
  <si>
    <t>Operating</t>
  </si>
  <si>
    <t>Leases ($000)</t>
  </si>
  <si>
    <t>Response to ICNU Data Request No. 4.05 &amp; Puget Sound Energy  2007 10-K.</t>
  </si>
  <si>
    <t>Line 14 x Line 15.</t>
  </si>
  <si>
    <t>NPV (Line 1 through 13).</t>
  </si>
  <si>
    <t>Line 1 - Line 16.</t>
  </si>
  <si>
    <t>2007 10-K at 101.</t>
  </si>
  <si>
    <t>Page 3, Line 17, Col. 1.</t>
  </si>
  <si>
    <t>(000)</t>
  </si>
  <si>
    <t>Exhibit No.___(MPG-3), Line 4, Col. 4.</t>
  </si>
  <si>
    <t>Exhibit No.___(MPG-3), Line 1 + Line 2, Col. 4.</t>
  </si>
  <si>
    <t>Page 2, Line 3, Col. 1 times Col. 3.</t>
  </si>
  <si>
    <t>Page 2, Sum of Lines 1-3, Col. 2.</t>
  </si>
  <si>
    <t>Line 1 x Line 8.</t>
  </si>
  <si>
    <t>Puget Sound Energy, Inc.</t>
  </si>
  <si>
    <t xml:space="preserve">      Financial  Guidelines Revised; June 2, 2004.</t>
  </si>
  <si>
    <t xml:space="preserve">   * Standard &amp; Poors. New Business Profile Scores Assigned to U.S. Utility and Power Companies; </t>
  </si>
  <si>
    <t xml:space="preserve">   *** Depreciation adjustment proposed by EAC witness James Selecky.</t>
  </si>
  <si>
    <t xml:space="preserve"> Sources:</t>
  </si>
  <si>
    <t xml:space="preserve">  ** Standard &amp; Poor's, U.S. Utilities Ratings Analysis Now Portrayed in The S&amp;P Corporate Ratings Matrix; November 30, 2007.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</si>
</sst>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_);\(0.00\)"/>
    <numFmt numFmtId="167" formatCode="0.0%"/>
    <numFmt numFmtId="168" formatCode="0.0000000000000000%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_);_(* \(#,##0.0\);_(* &quot;-&quot;?_);_(@_)"/>
    <numFmt numFmtId="178" formatCode="_(* #,##0_);_(* \(#,##0\);_(* &quot;-&quot;??_);_(@_)"/>
    <numFmt numFmtId="179" formatCode="0.00\x"/>
    <numFmt numFmtId="180" formatCode="00000"/>
    <numFmt numFmtId="181" formatCode="mm/dd/yy"/>
    <numFmt numFmtId="182" formatCode="mmm\-yyyy"/>
    <numFmt numFmtId="183" formatCode="0.000%"/>
    <numFmt numFmtId="184" formatCode="0.000000000000000%"/>
    <numFmt numFmtId="185" formatCode="0.00000000000000%"/>
    <numFmt numFmtId="186" formatCode="0.0\x"/>
    <numFmt numFmtId="187" formatCode="_(* #,##0.0_);_(* \(#,##0.0\);_(* &quot;-&quot;??_);_(@_)"/>
    <numFmt numFmtId="188" formatCode="[$-409]dddd\,\ mmmm\ dd\,\ yyyy"/>
    <numFmt numFmtId="189" formatCode="[$-409]mmm\-yy;@"/>
    <numFmt numFmtId="190" formatCode="0.0000000000000%"/>
    <numFmt numFmtId="191" formatCode="_(* #,##0.000_);_(* \(#,##0.000\);_(* &quot;-&quot;???_);_(@_)"/>
    <numFmt numFmtId="192" formatCode="0.0"/>
    <numFmt numFmtId="193" formatCode="_(&quot;$&quot;* #,##0_);_(&quot;$&quot;* \(#,##0\);_(@_)"/>
    <numFmt numFmtId="194" formatCode="_(&quot;$&quot;* #,##0.000_);_(&quot;$&quot;* \(#,##0.000\);_(&quot;$&quot;* &quot;-&quot;??_);_(@_)"/>
    <numFmt numFmtId="195" formatCode="[$$-409]#,##0.000"/>
    <numFmt numFmtId="196" formatCode="#,##0.000"/>
    <numFmt numFmtId="197" formatCode="0_);\(0\)"/>
    <numFmt numFmtId="198" formatCode="#,##0.0"/>
    <numFmt numFmtId="199" formatCode="_(* #,##0.00_);_(* \(#,##0.00\);_(* &quot;-&quot;???_);_(@_)"/>
    <numFmt numFmtId="200" formatCode="_(* #,##0.0_);_(* \(#,##0.0\);_(* &quot;-&quot;???_);_(@_)"/>
    <numFmt numFmtId="201" formatCode="_(* #,##0_);_(* \(#,##0\);_(* &quot;-&quot;???_);_(@_)"/>
    <numFmt numFmtId="202" formatCode="#,##0.0_);\(#,##0.0\)"/>
    <numFmt numFmtId="203" formatCode="&quot;$&quot;#,##0.00"/>
    <numFmt numFmtId="204" formatCode="&quot;$&quot;#,##0.0"/>
    <numFmt numFmtId="205" formatCode="&quot;$&quot;#,##0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0.0000%"/>
    <numFmt numFmtId="210" formatCode="&quot;$&quot;#,##0.0_);[Red]\(&quot;$&quot;#,##0.0\)"/>
    <numFmt numFmtId="211" formatCode="[$-409]h:mm:ss\ AM/PM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</numFmts>
  <fonts count="6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32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69" applyNumberFormat="1" applyFont="1" applyAlignment="1">
      <alignment horizontal="center"/>
    </xf>
    <xf numFmtId="10" fontId="2" fillId="0" borderId="0" xfId="69" applyNumberFormat="1" applyFont="1" applyAlignment="1">
      <alignment horizontal="center"/>
    </xf>
    <xf numFmtId="10" fontId="3" fillId="0" borderId="0" xfId="6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left" indent="3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 indent="3"/>
    </xf>
    <xf numFmtId="165" fontId="0" fillId="0" borderId="0" xfId="44" applyNumberFormat="1" applyFill="1" applyAlignment="1">
      <alignment horizontal="center"/>
    </xf>
    <xf numFmtId="10" fontId="0" fillId="0" borderId="0" xfId="0" applyNumberFormat="1" applyAlignment="1">
      <alignment horizontal="right"/>
    </xf>
    <xf numFmtId="0" fontId="0" fillId="0" borderId="0" xfId="0" applyFont="1" applyAlignment="1">
      <alignment horizontal="left" indent="1"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Fill="1" applyAlignment="1">
      <alignment/>
    </xf>
    <xf numFmtId="165" fontId="0" fillId="0" borderId="0" xfId="0" applyNumberFormat="1" applyAlignment="1">
      <alignment horizontal="center"/>
    </xf>
    <xf numFmtId="10" fontId="0" fillId="0" borderId="0" xfId="69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0" fontId="0" fillId="0" borderId="0" xfId="69" applyNumberFormat="1" applyAlignment="1">
      <alignment/>
    </xf>
    <xf numFmtId="10" fontId="4" fillId="0" borderId="0" xfId="69" applyNumberFormat="1" applyFont="1" applyAlignment="1">
      <alignment horizontal="center"/>
    </xf>
    <xf numFmtId="165" fontId="0" fillId="0" borderId="0" xfId="44" applyNumberFormat="1" applyAlignment="1">
      <alignment/>
    </xf>
    <xf numFmtId="10" fontId="0" fillId="0" borderId="0" xfId="69" applyNumberFormat="1" applyAlignment="1">
      <alignment horizontal="center"/>
    </xf>
    <xf numFmtId="165" fontId="1" fillId="0" borderId="0" xfId="44" applyNumberFormat="1" applyFont="1" applyAlignment="1">
      <alignment/>
    </xf>
    <xf numFmtId="42" fontId="0" fillId="0" borderId="0" xfId="44" applyNumberFormat="1" applyAlignment="1">
      <alignment/>
    </xf>
    <xf numFmtId="167" fontId="0" fillId="0" borderId="0" xfId="69" applyNumberFormat="1" applyAlignment="1">
      <alignment horizontal="center"/>
    </xf>
    <xf numFmtId="183" fontId="0" fillId="0" borderId="0" xfId="69" applyNumberFormat="1" applyAlignment="1">
      <alignment horizontal="center"/>
    </xf>
    <xf numFmtId="0" fontId="0" fillId="0" borderId="0" xfId="0" applyFont="1" applyAlignment="1">
      <alignment horizontal="center"/>
    </xf>
    <xf numFmtId="42" fontId="2" fillId="0" borderId="0" xfId="44" applyNumberFormat="1" applyFont="1" applyAlignment="1">
      <alignment/>
    </xf>
    <xf numFmtId="167" fontId="2" fillId="0" borderId="0" xfId="69" applyNumberFormat="1" applyFont="1" applyAlignment="1">
      <alignment horizontal="center"/>
    </xf>
    <xf numFmtId="183" fontId="2" fillId="0" borderId="0" xfId="69" applyNumberFormat="1" applyFont="1" applyAlignment="1">
      <alignment horizontal="center"/>
    </xf>
    <xf numFmtId="10" fontId="0" fillId="0" borderId="0" xfId="69" applyNumberFormat="1" applyAlignment="1">
      <alignment horizontal="left"/>
    </xf>
    <xf numFmtId="10" fontId="0" fillId="0" borderId="0" xfId="69" applyNumberFormat="1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69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 quotePrefix="1">
      <alignment horizontal="center"/>
    </xf>
    <xf numFmtId="165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0" fontId="0" fillId="0" borderId="0" xfId="69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9" fontId="0" fillId="0" borderId="12" xfId="69" applyNumberFormat="1" applyFont="1" applyBorder="1" applyAlignment="1">
      <alignment horizontal="center"/>
    </xf>
    <xf numFmtId="9" fontId="0" fillId="0" borderId="13" xfId="6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8" fontId="0" fillId="0" borderId="0" xfId="42" applyNumberFormat="1" applyFont="1" applyAlignment="1">
      <alignment/>
    </xf>
    <xf numFmtId="0" fontId="55" fillId="0" borderId="0" xfId="64" applyFont="1">
      <alignment/>
      <protection/>
    </xf>
    <xf numFmtId="0" fontId="56" fillId="0" borderId="0" xfId="64" applyFont="1" applyAlignment="1">
      <alignment horizontal="center"/>
      <protection/>
    </xf>
    <xf numFmtId="165" fontId="3" fillId="0" borderId="0" xfId="48" applyNumberFormat="1" applyFont="1" applyAlignment="1">
      <alignment horizontal="center"/>
    </xf>
    <xf numFmtId="0" fontId="55" fillId="0" borderId="0" xfId="64" applyFont="1" applyAlignment="1">
      <alignment horizontal="center"/>
      <protection/>
    </xf>
    <xf numFmtId="165" fontId="2" fillId="0" borderId="0" xfId="47" applyNumberFormat="1" applyFont="1" applyAlignment="1">
      <alignment horizontal="center"/>
    </xf>
    <xf numFmtId="0" fontId="0" fillId="0" borderId="0" xfId="65" applyFont="1" applyAlignment="1">
      <alignment horizontal="left"/>
      <protection/>
    </xf>
    <xf numFmtId="165" fontId="0" fillId="0" borderId="0" xfId="52" applyNumberFormat="1" applyFont="1" applyAlignment="1">
      <alignment horizontal="center"/>
    </xf>
    <xf numFmtId="165" fontId="12" fillId="0" borderId="0" xfId="46" applyNumberFormat="1" applyFont="1" applyAlignment="1">
      <alignment horizontal="center"/>
    </xf>
    <xf numFmtId="0" fontId="2" fillId="0" borderId="0" xfId="65" applyFont="1" applyFill="1" applyAlignment="1">
      <alignment horizontal="left"/>
      <protection/>
    </xf>
    <xf numFmtId="165" fontId="2" fillId="0" borderId="0" xfId="49" applyNumberFormat="1" applyFont="1" applyAlignment="1">
      <alignment horizontal="center"/>
    </xf>
    <xf numFmtId="10" fontId="55" fillId="0" borderId="0" xfId="70" applyNumberFormat="1" applyFont="1" applyAlignment="1">
      <alignment horizontal="center"/>
    </xf>
    <xf numFmtId="10" fontId="57" fillId="0" borderId="0" xfId="70" applyNumberFormat="1" applyFont="1" applyAlignment="1">
      <alignment horizontal="center"/>
    </xf>
    <xf numFmtId="10" fontId="58" fillId="0" borderId="0" xfId="64" applyNumberFormat="1" applyFont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44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9" fillId="0" borderId="0" xfId="64" applyFont="1" applyAlignment="1">
      <alignment horizontal="center"/>
      <protection/>
    </xf>
    <xf numFmtId="0" fontId="60" fillId="0" borderId="0" xfId="64" applyFont="1" applyAlignment="1">
      <alignment horizontal="center"/>
      <protection/>
    </xf>
    <xf numFmtId="0" fontId="9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1" xfId="47"/>
    <cellStyle name="Currency 3" xfId="48"/>
    <cellStyle name="Currency 4" xfId="49"/>
    <cellStyle name="Currency 6" xfId="50"/>
    <cellStyle name="Currency 8" xfId="51"/>
    <cellStyle name="Currency 9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36480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0</xdr:row>
      <xdr:rowOff>0</xdr:rowOff>
    </xdr:from>
    <xdr:to>
      <xdr:col>7</xdr:col>
      <xdr:colOff>1828800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247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723900</xdr:colOff>
      <xdr:row>31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42900" y="8401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19</xdr:row>
      <xdr:rowOff>152400</xdr:rowOff>
    </xdr:from>
    <xdr:to>
      <xdr:col>1</xdr:col>
      <xdr:colOff>542925</xdr:colOff>
      <xdr:row>19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57200" y="383857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152400</xdr:rowOff>
    </xdr:from>
    <xdr:to>
      <xdr:col>1</xdr:col>
      <xdr:colOff>542925</xdr:colOff>
      <xdr:row>35</xdr:row>
      <xdr:rowOff>152400</xdr:rowOff>
    </xdr:to>
    <xdr:sp>
      <xdr:nvSpPr>
        <xdr:cNvPr id="1" name="Straight Connector 3"/>
        <xdr:cNvSpPr>
          <a:spLocks/>
        </xdr:cNvSpPr>
      </xdr:nvSpPr>
      <xdr:spPr>
        <a:xfrm>
          <a:off x="600075" y="6515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3" width="12.28125" style="0" bestFit="1" customWidth="1"/>
    <col min="4" max="4" width="11.7109375" style="30" customWidth="1"/>
    <col min="5" max="5" width="10.00390625" style="0" customWidth="1"/>
    <col min="6" max="6" width="10.421875" style="0" customWidth="1"/>
    <col min="7" max="7" width="16.57421875" style="0" bestFit="1" customWidth="1"/>
    <col min="8" max="8" width="10.00390625" style="0" bestFit="1" customWidth="1"/>
  </cols>
  <sheetData>
    <row r="1" spans="1:7" ht="26.25">
      <c r="A1" s="94" t="s">
        <v>96</v>
      </c>
      <c r="B1" s="94"/>
      <c r="C1" s="94"/>
      <c r="D1" s="94"/>
      <c r="E1" s="94"/>
      <c r="F1" s="94"/>
      <c r="G1" s="8"/>
    </row>
    <row r="2" spans="1:7" ht="26.25">
      <c r="A2" s="8"/>
      <c r="B2" s="8"/>
      <c r="C2" s="8"/>
      <c r="D2" s="8"/>
      <c r="E2" s="8"/>
      <c r="F2" s="8"/>
      <c r="G2" s="8"/>
    </row>
    <row r="3" ht="12.75">
      <c r="D3" s="24"/>
    </row>
    <row r="4" spans="1:7" ht="18">
      <c r="A4" s="95" t="s">
        <v>59</v>
      </c>
      <c r="B4" s="95"/>
      <c r="C4" s="95"/>
      <c r="D4" s="95"/>
      <c r="E4" s="95"/>
      <c r="F4" s="95"/>
      <c r="G4" s="7"/>
    </row>
    <row r="5" spans="1:7" ht="18">
      <c r="A5" s="7"/>
      <c r="B5" s="7"/>
      <c r="C5" s="7"/>
      <c r="D5" s="25"/>
      <c r="E5" s="7"/>
      <c r="F5" s="7"/>
      <c r="G5" s="7"/>
    </row>
    <row r="6" spans="4:7" ht="12.75">
      <c r="D6" s="24"/>
      <c r="G6" s="2"/>
    </row>
    <row r="7" spans="1:7" s="2" customFormat="1" ht="12.75">
      <c r="A7"/>
      <c r="B7"/>
      <c r="C7"/>
      <c r="D7" s="24"/>
      <c r="E7"/>
      <c r="F7"/>
      <c r="G7" s="11"/>
    </row>
    <row r="8" spans="4:7" s="2" customFormat="1" ht="11.25" customHeight="1">
      <c r="D8" s="5"/>
      <c r="F8" s="2" t="s">
        <v>22</v>
      </c>
      <c r="G8" s="1"/>
    </row>
    <row r="9" spans="1:6" s="13" customFormat="1" ht="12.75">
      <c r="A9" s="1" t="s">
        <v>7</v>
      </c>
      <c r="B9" s="49" t="s">
        <v>6</v>
      </c>
      <c r="C9" s="1" t="s">
        <v>0</v>
      </c>
      <c r="D9" s="6" t="s">
        <v>2</v>
      </c>
      <c r="E9" s="1" t="s">
        <v>23</v>
      </c>
      <c r="F9" s="1" t="s">
        <v>5</v>
      </c>
    </row>
    <row r="10" spans="1:6" ht="12.75">
      <c r="A10" s="13"/>
      <c r="B10" s="13"/>
      <c r="C10" s="13" t="s">
        <v>1</v>
      </c>
      <c r="D10" s="13" t="s">
        <v>3</v>
      </c>
      <c r="E10" s="13" t="s">
        <v>4</v>
      </c>
      <c r="F10" s="13" t="s">
        <v>30</v>
      </c>
    </row>
    <row r="11" ht="12.75">
      <c r="D11" s="24"/>
    </row>
    <row r="12" spans="1:6" ht="12.75">
      <c r="A12" s="3">
        <v>1</v>
      </c>
      <c r="B12" t="s">
        <v>52</v>
      </c>
      <c r="C12" s="26">
        <v>295696</v>
      </c>
      <c r="D12" s="37">
        <f>C12/$C$17</f>
        <v>0.049295771125824284</v>
      </c>
      <c r="E12" s="27">
        <v>0.0592</v>
      </c>
      <c r="F12" s="27">
        <f>D12*E12</f>
        <v>0.002918309650648798</v>
      </c>
    </row>
    <row r="13" spans="1:7" ht="15.75" customHeight="1">
      <c r="A13" s="3">
        <v>2</v>
      </c>
      <c r="B13" s="51" t="s">
        <v>28</v>
      </c>
      <c r="C13" s="26">
        <v>3001777</v>
      </c>
      <c r="D13" s="37">
        <f>C13/$C$17</f>
        <v>0.5004291974283164</v>
      </c>
      <c r="E13" s="27">
        <v>0.069</v>
      </c>
      <c r="F13" s="27">
        <f>D13*E13</f>
        <v>0.034529614622553835</v>
      </c>
      <c r="G13" s="41"/>
    </row>
    <row r="14" spans="1:7" ht="15.75" customHeight="1">
      <c r="A14" s="3">
        <v>3</v>
      </c>
      <c r="B14" s="48" t="s">
        <v>43</v>
      </c>
      <c r="C14" s="26">
        <v>1889</v>
      </c>
      <c r="D14" s="37">
        <f>C14/$C$17</f>
        <v>0.0003149170487821346</v>
      </c>
      <c r="E14" s="27">
        <v>0.0861</v>
      </c>
      <c r="F14" s="27">
        <f>D14*E14</f>
        <v>2.7114357900141786E-05</v>
      </c>
      <c r="G14" s="41"/>
    </row>
    <row r="15" spans="1:8" ht="15.75" customHeight="1">
      <c r="A15" s="3">
        <v>4</v>
      </c>
      <c r="B15" s="48" t="s">
        <v>29</v>
      </c>
      <c r="C15" s="28">
        <v>2699043</v>
      </c>
      <c r="D15" s="4">
        <f>C15/$C$17</f>
        <v>0.4499601143970772</v>
      </c>
      <c r="E15" s="5">
        <v>0.1012</v>
      </c>
      <c r="F15" s="4">
        <f>D15*E15</f>
        <v>0.045535963576984216</v>
      </c>
      <c r="G15" s="42"/>
      <c r="H15" s="39"/>
    </row>
    <row r="16" spans="2:7" ht="12.75">
      <c r="B16" s="9"/>
      <c r="C16" s="29"/>
      <c r="D16" s="27"/>
      <c r="E16" s="31"/>
      <c r="F16" s="27"/>
      <c r="G16" s="3"/>
    </row>
    <row r="17" spans="1:8" ht="12.75">
      <c r="A17" s="32">
        <v>5</v>
      </c>
      <c r="B17" s="80" t="s">
        <v>24</v>
      </c>
      <c r="C17" s="33">
        <f>SUM(C12:C16)</f>
        <v>5998405</v>
      </c>
      <c r="D17" s="5">
        <f>SUM(D12:D16)</f>
        <v>1</v>
      </c>
      <c r="E17" s="35"/>
      <c r="F17" s="5">
        <f>SUM(F12:F15)</f>
        <v>0.08301100220808699</v>
      </c>
      <c r="G17" s="40"/>
      <c r="H17" s="24"/>
    </row>
    <row r="18" spans="4:8" ht="12.75">
      <c r="D18" s="27"/>
      <c r="E18" s="3"/>
      <c r="F18" s="3"/>
      <c r="G18" s="26"/>
      <c r="H18" s="24"/>
    </row>
    <row r="19" spans="4:6" ht="12.75">
      <c r="D19" s="27"/>
      <c r="E19" s="3"/>
      <c r="F19" s="3"/>
    </row>
    <row r="20" spans="1:5" ht="12.75">
      <c r="A20" s="3"/>
      <c r="B20" s="10" t="s">
        <v>25</v>
      </c>
      <c r="C20" s="10"/>
      <c r="D20" s="36"/>
      <c r="E20" s="27"/>
    </row>
    <row r="21" spans="1:5" ht="12.75">
      <c r="A21" s="3"/>
      <c r="B21" s="17" t="s">
        <v>61</v>
      </c>
      <c r="C21" s="9"/>
      <c r="D21" s="36"/>
      <c r="E21" s="27"/>
    </row>
    <row r="22" spans="1:5" ht="12.75">
      <c r="A22" s="3"/>
      <c r="B22" s="9"/>
      <c r="C22" s="9"/>
      <c r="D22" s="36"/>
      <c r="E22" s="27"/>
    </row>
    <row r="23" spans="1:5" ht="12.75">
      <c r="A23" s="3"/>
      <c r="B23" s="9"/>
      <c r="C23" s="9"/>
      <c r="D23" s="36"/>
      <c r="E23" s="27"/>
    </row>
    <row r="24" spans="1:5" ht="12.75">
      <c r="A24" s="3"/>
      <c r="B24" s="9"/>
      <c r="C24" s="9"/>
      <c r="D24" s="36"/>
      <c r="E24" s="27"/>
    </row>
    <row r="25" spans="1:6" ht="12.75">
      <c r="A25" s="2"/>
      <c r="B25" s="2"/>
      <c r="C25" s="2"/>
      <c r="D25" s="5"/>
      <c r="E25" s="2"/>
      <c r="F25" s="2"/>
    </row>
    <row r="26" spans="1:6" ht="12.75">
      <c r="A26" s="1"/>
      <c r="B26" s="49"/>
      <c r="C26" s="1"/>
      <c r="D26" s="6"/>
      <c r="E26" s="1"/>
      <c r="F26" s="1"/>
    </row>
    <row r="27" spans="1:6" ht="12.75">
      <c r="A27" s="13"/>
      <c r="B27" s="13"/>
      <c r="C27" s="13"/>
      <c r="D27" s="13"/>
      <c r="E27" s="13"/>
      <c r="F27" s="13"/>
    </row>
    <row r="28" ht="12.75">
      <c r="D28" s="24"/>
    </row>
    <row r="29" spans="1:6" ht="12.75">
      <c r="A29" s="3"/>
      <c r="B29" s="51"/>
      <c r="C29" s="26"/>
      <c r="D29" s="37"/>
      <c r="E29" s="27"/>
      <c r="F29" s="27"/>
    </row>
    <row r="30" spans="1:6" ht="12.75">
      <c r="A30" s="3"/>
      <c r="B30" s="51"/>
      <c r="C30" s="26"/>
      <c r="D30" s="37"/>
      <c r="E30" s="27"/>
      <c r="F30" s="27"/>
    </row>
    <row r="31" spans="1:6" ht="12.75">
      <c r="A31" s="3"/>
      <c r="B31" s="51"/>
      <c r="C31" s="26"/>
      <c r="D31" s="37"/>
      <c r="E31" s="27"/>
      <c r="F31" s="27"/>
    </row>
    <row r="32" spans="1:6" ht="12.75">
      <c r="A32" s="3"/>
      <c r="B32" s="48"/>
      <c r="C32" s="28"/>
      <c r="D32" s="4"/>
      <c r="E32" s="5"/>
      <c r="F32" s="4"/>
    </row>
    <row r="33" spans="2:6" ht="12.75">
      <c r="B33" s="9"/>
      <c r="C33" s="29"/>
      <c r="D33" s="27"/>
      <c r="E33" s="31"/>
      <c r="F33" s="27"/>
    </row>
    <row r="34" spans="1:6" ht="12.75">
      <c r="A34" s="32"/>
      <c r="B34" s="50"/>
      <c r="C34" s="33"/>
      <c r="D34" s="5"/>
      <c r="E34" s="35"/>
      <c r="F34" s="5"/>
    </row>
    <row r="37" spans="1:6" ht="12.75">
      <c r="A37" s="2"/>
      <c r="B37" s="2"/>
      <c r="C37" s="2"/>
      <c r="D37" s="5"/>
      <c r="E37" s="2"/>
      <c r="F37" s="2"/>
    </row>
    <row r="38" spans="1:6" ht="12.75">
      <c r="A38" s="1"/>
      <c r="B38" s="49"/>
      <c r="C38" s="1"/>
      <c r="D38" s="6"/>
      <c r="E38" s="1"/>
      <c r="F38" s="1"/>
    </row>
    <row r="39" spans="1:6" ht="12.75">
      <c r="A39" s="13"/>
      <c r="B39" s="13"/>
      <c r="C39" s="13"/>
      <c r="D39" s="13"/>
      <c r="E39" s="13"/>
      <c r="F39" s="13"/>
    </row>
    <row r="40" ht="12.75">
      <c r="D40" s="24"/>
    </row>
    <row r="41" spans="1:6" ht="12.75">
      <c r="A41" s="3"/>
      <c r="B41" s="51"/>
      <c r="C41" s="26"/>
      <c r="D41" s="37"/>
      <c r="E41" s="27"/>
      <c r="F41" s="27"/>
    </row>
    <row r="42" spans="1:6" ht="12.75">
      <c r="A42" s="3"/>
      <c r="B42" s="51"/>
      <c r="C42" s="26"/>
      <c r="D42" s="37"/>
      <c r="E42" s="27"/>
      <c r="F42" s="27"/>
    </row>
    <row r="43" spans="1:6" ht="12.75">
      <c r="A43" s="3"/>
      <c r="B43" s="51"/>
      <c r="C43" s="26"/>
      <c r="D43" s="37"/>
      <c r="E43" s="27"/>
      <c r="F43" s="27"/>
    </row>
    <row r="44" spans="1:6" ht="12.75">
      <c r="A44" s="3"/>
      <c r="B44" s="48"/>
      <c r="C44" s="28"/>
      <c r="D44" s="4"/>
      <c r="E44" s="5"/>
      <c r="F44" s="4"/>
    </row>
    <row r="45" spans="2:6" ht="12.75">
      <c r="B45" s="9"/>
      <c r="C45" s="29"/>
      <c r="D45" s="27"/>
      <c r="E45" s="31"/>
      <c r="F45" s="27"/>
    </row>
    <row r="46" spans="1:6" ht="12.75">
      <c r="A46" s="32"/>
      <c r="B46" s="50"/>
      <c r="C46" s="33"/>
      <c r="D46" s="5"/>
      <c r="E46" s="35"/>
      <c r="F46" s="5"/>
    </row>
  </sheetData>
  <sheetProtection/>
  <mergeCells count="2">
    <mergeCell ref="A1:F1"/>
    <mergeCell ref="A4:F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&amp;RExhibit No.___(MPG-3)
Page 1 of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0" zoomScaleNormal="80" zoomScaleSheetLayoutView="100" zoomScalePageLayoutView="80" workbookViewId="0" topLeftCell="A1">
      <selection activeCell="A2" sqref="A2"/>
    </sheetView>
  </sheetViews>
  <sheetFormatPr defaultColWidth="9.140625" defaultRowHeight="12.75"/>
  <cols>
    <col min="1" max="1" width="5.00390625" style="3" bestFit="1" customWidth="1"/>
    <col min="2" max="2" width="30.421875" style="0" customWidth="1"/>
    <col min="3" max="3" width="15.00390625" style="0" bestFit="1" customWidth="1"/>
    <col min="4" max="4" width="14.421875" style="3" customWidth="1"/>
    <col min="5" max="5" width="14.57421875" style="3" customWidth="1"/>
    <col min="6" max="6" width="12.7109375" style="3" bestFit="1" customWidth="1"/>
    <col min="7" max="7" width="1.57421875" style="3" customWidth="1"/>
    <col min="8" max="8" width="41.00390625" style="0" customWidth="1"/>
    <col min="11" max="11" width="21.421875" style="0" customWidth="1"/>
    <col min="13" max="13" width="10.28125" style="0" bestFit="1" customWidth="1"/>
  </cols>
  <sheetData>
    <row r="1" spans="1:8" ht="41.25">
      <c r="A1" s="92" t="s">
        <v>96</v>
      </c>
      <c r="B1" s="92"/>
      <c r="C1" s="92"/>
      <c r="D1" s="92"/>
      <c r="E1" s="92"/>
      <c r="F1" s="92"/>
      <c r="G1" s="92"/>
      <c r="H1" s="92"/>
    </row>
    <row r="5" spans="1:8" ht="23.25">
      <c r="A5" s="91" t="s">
        <v>55</v>
      </c>
      <c r="B5" s="91"/>
      <c r="C5" s="91"/>
      <c r="D5" s="91"/>
      <c r="E5" s="91"/>
      <c r="F5" s="91"/>
      <c r="G5" s="91"/>
      <c r="H5" s="91"/>
    </row>
    <row r="9" spans="4:7" ht="12.75">
      <c r="D9" s="93" t="s">
        <v>66</v>
      </c>
      <c r="E9" s="93"/>
      <c r="F9" s="52" t="s">
        <v>79</v>
      </c>
      <c r="G9" s="52"/>
    </row>
    <row r="10" spans="4:7" ht="12.75">
      <c r="D10" s="52" t="s">
        <v>17</v>
      </c>
      <c r="E10" s="52" t="s">
        <v>17</v>
      </c>
      <c r="F10" s="52" t="s">
        <v>73</v>
      </c>
      <c r="G10" s="52"/>
    </row>
    <row r="11" spans="3:7" s="2" customFormat="1" ht="12.75">
      <c r="C11" s="2" t="s">
        <v>63</v>
      </c>
      <c r="D11" s="52" t="s">
        <v>18</v>
      </c>
      <c r="E11" s="52" t="s">
        <v>26</v>
      </c>
      <c r="F11" s="52" t="s">
        <v>74</v>
      </c>
      <c r="G11" s="52"/>
    </row>
    <row r="12" spans="1:8" s="3" customFormat="1" ht="12.75">
      <c r="A12" s="1" t="s">
        <v>7</v>
      </c>
      <c r="B12" s="12" t="s">
        <v>6</v>
      </c>
      <c r="C12" s="1" t="s">
        <v>19</v>
      </c>
      <c r="D12" s="53" t="s">
        <v>20</v>
      </c>
      <c r="E12" s="53" t="s">
        <v>20</v>
      </c>
      <c r="F12" s="53" t="s">
        <v>75</v>
      </c>
      <c r="G12" s="53"/>
      <c r="H12" s="47" t="s">
        <v>27</v>
      </c>
    </row>
    <row r="13" spans="2:8" ht="12.75">
      <c r="B13" s="9"/>
      <c r="C13" s="13" t="s">
        <v>1</v>
      </c>
      <c r="D13" s="54" t="s">
        <v>3</v>
      </c>
      <c r="E13" s="54" t="s">
        <v>4</v>
      </c>
      <c r="F13" s="54" t="s">
        <v>30</v>
      </c>
      <c r="G13" s="54"/>
      <c r="H13" s="13" t="s">
        <v>41</v>
      </c>
    </row>
    <row r="14" spans="2:8" ht="12.75">
      <c r="B14" s="9"/>
      <c r="D14" s="54"/>
      <c r="E14" s="54"/>
      <c r="F14" s="54"/>
      <c r="G14" s="54"/>
      <c r="H14" s="14"/>
    </row>
    <row r="15" spans="1:8" ht="30" customHeight="1">
      <c r="A15" s="3">
        <v>1</v>
      </c>
      <c r="B15" s="17" t="s">
        <v>62</v>
      </c>
      <c r="C15" s="15">
        <f>1349395044+3305098647</f>
        <v>4654493691</v>
      </c>
      <c r="D15" s="23"/>
      <c r="E15" s="23"/>
      <c r="F15" s="23"/>
      <c r="G15" s="23"/>
      <c r="H15" s="32" t="s">
        <v>65</v>
      </c>
    </row>
    <row r="16" spans="1:13" ht="30" customHeight="1">
      <c r="A16" s="3">
        <f>A15+1</f>
        <v>2</v>
      </c>
      <c r="B16" s="9" t="s">
        <v>9</v>
      </c>
      <c r="C16" s="16">
        <f>'MPG-3'!F15</f>
        <v>0.045535963576984216</v>
      </c>
      <c r="D16" s="23"/>
      <c r="E16" s="23"/>
      <c r="F16" s="23"/>
      <c r="G16" s="23"/>
      <c r="H16" s="61" t="s">
        <v>91</v>
      </c>
      <c r="K16" s="58"/>
      <c r="M16" s="64"/>
    </row>
    <row r="17" spans="1:13" ht="30" customHeight="1">
      <c r="A17" s="3">
        <f aca="true" t="shared" si="0" ref="A17:A23">A16+1</f>
        <v>3</v>
      </c>
      <c r="B17" s="17" t="s">
        <v>10</v>
      </c>
      <c r="C17" s="18">
        <f>C15*C16-M19</f>
        <v>211946855.18267882</v>
      </c>
      <c r="D17" s="23"/>
      <c r="E17" s="23"/>
      <c r="F17" s="23"/>
      <c r="G17" s="23"/>
      <c r="H17" s="32" t="s">
        <v>54</v>
      </c>
      <c r="K17" s="58"/>
      <c r="M17" s="64"/>
    </row>
    <row r="18" spans="1:13" ht="30" customHeight="1">
      <c r="A18" s="3">
        <f t="shared" si="0"/>
        <v>4</v>
      </c>
      <c r="B18" s="17" t="s">
        <v>31</v>
      </c>
      <c r="C18" s="19">
        <f>86550570+14087627+175508910+33071230</f>
        <v>309218337</v>
      </c>
      <c r="D18" s="23"/>
      <c r="E18" s="23"/>
      <c r="F18" s="23"/>
      <c r="G18" s="23"/>
      <c r="H18" s="32" t="s">
        <v>65</v>
      </c>
      <c r="K18" s="58"/>
      <c r="M18" s="64"/>
    </row>
    <row r="19" spans="1:13" ht="30" customHeight="1">
      <c r="A19" s="3">
        <v>5</v>
      </c>
      <c r="B19" s="9" t="s">
        <v>33</v>
      </c>
      <c r="C19" s="19">
        <f>+'MPG-21 3 of 3'!D34*1000</f>
        <v>8119755.674520744</v>
      </c>
      <c r="D19" s="23"/>
      <c r="E19" s="23"/>
      <c r="F19" s="23"/>
      <c r="G19" s="23"/>
      <c r="H19" s="61" t="s">
        <v>89</v>
      </c>
      <c r="K19" s="58"/>
      <c r="M19" s="64"/>
    </row>
    <row r="20" spans="1:8" ht="30" customHeight="1">
      <c r="A20" s="3">
        <v>6</v>
      </c>
      <c r="B20" s="17" t="s">
        <v>64</v>
      </c>
      <c r="C20" s="19">
        <f>4108331+89593353</f>
        <v>93701684</v>
      </c>
      <c r="D20" s="23"/>
      <c r="E20" s="23"/>
      <c r="F20" s="23"/>
      <c r="G20" s="23"/>
      <c r="H20" s="32" t="s">
        <v>65</v>
      </c>
    </row>
    <row r="21" spans="1:8" ht="30" customHeight="1">
      <c r="A21" s="3">
        <f t="shared" si="0"/>
        <v>7</v>
      </c>
      <c r="B21" s="9" t="s">
        <v>21</v>
      </c>
      <c r="C21" s="20">
        <f>SUM(C17:C20)</f>
        <v>622986631.8571995</v>
      </c>
      <c r="D21" s="23"/>
      <c r="E21" s="23"/>
      <c r="F21" s="23"/>
      <c r="G21" s="23"/>
      <c r="H21" s="32" t="s">
        <v>36</v>
      </c>
    </row>
    <row r="22" spans="1:8" ht="30" customHeight="1">
      <c r="A22" s="3">
        <f t="shared" si="0"/>
        <v>8</v>
      </c>
      <c r="B22" s="9" t="s">
        <v>11</v>
      </c>
      <c r="C22" s="21">
        <f>'MPG-3'!F12+'MPG-3'!F13</f>
        <v>0.037447924273202635</v>
      </c>
      <c r="D22" s="23"/>
      <c r="E22" s="23"/>
      <c r="F22" s="23"/>
      <c r="G22" s="23"/>
      <c r="H22" s="61" t="s">
        <v>92</v>
      </c>
    </row>
    <row r="23" spans="1:8" ht="30" customHeight="1">
      <c r="A23" s="3">
        <f t="shared" si="0"/>
        <v>9</v>
      </c>
      <c r="B23" s="9" t="s">
        <v>12</v>
      </c>
      <c r="C23" s="20">
        <f>C15*C22</f>
        <v>174301127.27066743</v>
      </c>
      <c r="D23" s="23"/>
      <c r="E23" s="23"/>
      <c r="F23" s="23"/>
      <c r="G23" s="23"/>
      <c r="H23" s="32" t="s">
        <v>95</v>
      </c>
    </row>
    <row r="24" spans="1:8" ht="30" customHeight="1">
      <c r="A24" s="3">
        <v>10</v>
      </c>
      <c r="B24" s="9" t="s">
        <v>34</v>
      </c>
      <c r="C24" s="89">
        <f>+('MPG-21 2 of 3'!C14*'MPG-21 2 of 3'!E14)*1000</f>
        <v>31795200.000000004</v>
      </c>
      <c r="D24" s="23"/>
      <c r="E24" s="23"/>
      <c r="F24" s="23"/>
      <c r="G24" s="23"/>
      <c r="H24" s="61" t="s">
        <v>93</v>
      </c>
    </row>
    <row r="25" spans="1:8" ht="30" customHeight="1">
      <c r="A25" s="3">
        <v>11</v>
      </c>
      <c r="B25" s="9" t="s">
        <v>13</v>
      </c>
      <c r="C25" s="22">
        <f>C21+C23+C24</f>
        <v>829082959.127867</v>
      </c>
      <c r="D25" s="23"/>
      <c r="E25" s="23"/>
      <c r="F25" s="23"/>
      <c r="G25" s="23"/>
      <c r="H25" s="32" t="s">
        <v>35</v>
      </c>
    </row>
    <row r="26" spans="2:8" ht="15.75" customHeight="1">
      <c r="B26" s="9"/>
      <c r="C26" s="22"/>
      <c r="D26" s="23"/>
      <c r="E26" s="23"/>
      <c r="F26" s="23"/>
      <c r="G26" s="23"/>
      <c r="H26" s="3"/>
    </row>
    <row r="27" spans="1:8" ht="12.75" customHeight="1">
      <c r="A27" s="3">
        <f>A25+1</f>
        <v>12</v>
      </c>
      <c r="B27" s="9" t="s">
        <v>14</v>
      </c>
      <c r="C27" s="55">
        <f>C25/(C23+C24)</f>
        <v>4.022793468022493</v>
      </c>
      <c r="D27" s="78" t="s">
        <v>67</v>
      </c>
      <c r="E27" s="82" t="s">
        <v>68</v>
      </c>
      <c r="F27" s="84" t="s">
        <v>76</v>
      </c>
      <c r="G27" s="60"/>
      <c r="H27" s="59" t="s">
        <v>37</v>
      </c>
    </row>
    <row r="28" spans="1:8" ht="30" customHeight="1">
      <c r="A28" s="3">
        <f>A27+1</f>
        <v>13</v>
      </c>
      <c r="B28" s="9" t="s">
        <v>15</v>
      </c>
      <c r="C28" s="56">
        <f>'MPG-21 2 of 3'!D12+'MPG-21 2 of 3'!D13+'MPG-21 2 of 3'!D14</f>
        <v>0.5818476112772393</v>
      </c>
      <c r="D28" s="23" t="s">
        <v>69</v>
      </c>
      <c r="E28" s="83" t="s">
        <v>70</v>
      </c>
      <c r="F28" s="83" t="s">
        <v>77</v>
      </c>
      <c r="G28" s="60"/>
      <c r="H28" s="61" t="s">
        <v>94</v>
      </c>
    </row>
    <row r="29" spans="1:8" ht="30" customHeight="1">
      <c r="A29" s="3">
        <f>A28+1</f>
        <v>14</v>
      </c>
      <c r="B29" s="9" t="s">
        <v>16</v>
      </c>
      <c r="C29" s="57">
        <f>C21/(C28*C15)</f>
        <v>0.2300366455206218</v>
      </c>
      <c r="D29" s="47" t="s">
        <v>71</v>
      </c>
      <c r="E29" s="79" t="s">
        <v>72</v>
      </c>
      <c r="F29" s="85" t="s">
        <v>78</v>
      </c>
      <c r="G29" s="60"/>
      <c r="H29" s="59" t="s">
        <v>38</v>
      </c>
    </row>
    <row r="30" spans="2:8" ht="12.75">
      <c r="B30" s="9"/>
      <c r="H30" s="14"/>
    </row>
    <row r="31" ht="12.75">
      <c r="B31" s="9"/>
    </row>
    <row r="32" ht="12.75">
      <c r="B32" s="90" t="s">
        <v>100</v>
      </c>
    </row>
    <row r="33" ht="12.75">
      <c r="B33" s="90" t="s">
        <v>98</v>
      </c>
    </row>
    <row r="34" ht="12.75">
      <c r="B34" s="90" t="s">
        <v>97</v>
      </c>
    </row>
    <row r="35" ht="12.75">
      <c r="B35" s="90" t="s">
        <v>101</v>
      </c>
    </row>
    <row r="36" ht="12.75">
      <c r="B36" s="90"/>
    </row>
    <row r="37" ht="12.75">
      <c r="B37" s="90" t="s">
        <v>99</v>
      </c>
    </row>
  </sheetData>
  <sheetProtection/>
  <mergeCells count="3">
    <mergeCell ref="A5:H5"/>
    <mergeCell ref="A1:H1"/>
    <mergeCell ref="D9:E9"/>
  </mergeCells>
  <printOptions horizontalCentered="1"/>
  <pageMargins left="0.75" right="0.75" top="1" bottom="1" header="0.5" footer="0.5"/>
  <pageSetup fitToHeight="1" fitToWidth="1" horizontalDpi="600" verticalDpi="600" orientation="portrait" scale="67" r:id="rId2"/>
  <headerFooter alignWithMargins="0">
    <oddHeader>&amp;R&amp;13Exhibit No.___(MPG-21)
Page 1 of 3&amp;10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21.7109375" style="0" customWidth="1"/>
    <col min="3" max="3" width="13.421875" style="0" bestFit="1" customWidth="1"/>
    <col min="4" max="4" width="11.7109375" style="30" customWidth="1"/>
    <col min="5" max="5" width="10.00390625" style="0" customWidth="1"/>
    <col min="6" max="6" width="10.421875" style="0" customWidth="1"/>
    <col min="8" max="8" width="16.28125" style="0" bestFit="1" customWidth="1"/>
    <col min="9" max="9" width="14.8515625" style="0" bestFit="1" customWidth="1"/>
  </cols>
  <sheetData>
    <row r="1" spans="1:6" ht="26.25">
      <c r="A1" s="94" t="s">
        <v>96</v>
      </c>
      <c r="B1" s="94"/>
      <c r="C1" s="94"/>
      <c r="D1" s="94"/>
      <c r="E1" s="94"/>
      <c r="F1" s="94"/>
    </row>
    <row r="2" spans="1:6" ht="26.25">
      <c r="A2" s="8"/>
      <c r="B2" s="8"/>
      <c r="C2" s="8"/>
      <c r="D2" s="8"/>
      <c r="E2" s="8"/>
      <c r="F2" s="8"/>
    </row>
    <row r="3" ht="12.75">
      <c r="D3" s="24"/>
    </row>
    <row r="4" spans="1:6" ht="18">
      <c r="A4" s="95" t="s">
        <v>58</v>
      </c>
      <c r="B4" s="95"/>
      <c r="C4" s="95"/>
      <c r="D4" s="95"/>
      <c r="E4" s="95"/>
      <c r="F4" s="95"/>
    </row>
    <row r="5" spans="1:6" ht="18">
      <c r="A5" s="96" t="s">
        <v>90</v>
      </c>
      <c r="B5" s="97"/>
      <c r="C5" s="97"/>
      <c r="D5" s="97"/>
      <c r="E5" s="98"/>
      <c r="F5" s="98"/>
    </row>
    <row r="6" ht="12.75">
      <c r="D6" s="24"/>
    </row>
    <row r="7" spans="1:6" s="2" customFormat="1" ht="12.75">
      <c r="A7"/>
      <c r="B7"/>
      <c r="C7"/>
      <c r="D7" s="24"/>
      <c r="E7"/>
      <c r="F7"/>
    </row>
    <row r="8" spans="4:6" s="2" customFormat="1" ht="11.25" customHeight="1">
      <c r="D8" s="5"/>
      <c r="F8" s="2" t="s">
        <v>22</v>
      </c>
    </row>
    <row r="9" spans="1:6" s="13" customFormat="1" ht="12.75">
      <c r="A9" s="1" t="s">
        <v>7</v>
      </c>
      <c r="B9" s="12" t="s">
        <v>6</v>
      </c>
      <c r="C9" s="1" t="s">
        <v>0</v>
      </c>
      <c r="D9" s="6" t="s">
        <v>2</v>
      </c>
      <c r="E9" s="1" t="s">
        <v>23</v>
      </c>
      <c r="F9" s="1" t="s">
        <v>5</v>
      </c>
    </row>
    <row r="10" spans="1:6" ht="12.75">
      <c r="A10" s="13"/>
      <c r="B10" s="13"/>
      <c r="C10" s="13" t="s">
        <v>1</v>
      </c>
      <c r="D10" s="13" t="s">
        <v>3</v>
      </c>
      <c r="E10" s="13" t="s">
        <v>4</v>
      </c>
      <c r="F10" s="13" t="s">
        <v>30</v>
      </c>
    </row>
    <row r="11" spans="4:8" ht="12.75">
      <c r="D11" s="24"/>
      <c r="H11" s="44"/>
    </row>
    <row r="12" spans="1:8" ht="12.75">
      <c r="A12" s="3">
        <v>1</v>
      </c>
      <c r="B12" t="s">
        <v>52</v>
      </c>
      <c r="C12" s="45">
        <f>'MPG-3'!C12</f>
        <v>295696</v>
      </c>
      <c r="D12" s="37">
        <f>C12/$C$18</f>
        <v>0.0457790084073814</v>
      </c>
      <c r="E12" s="63">
        <f>'MPG-3'!E12</f>
        <v>0.0592</v>
      </c>
      <c r="F12" s="27">
        <f>D12*E12</f>
        <v>0.0027101172977169793</v>
      </c>
      <c r="H12" s="44"/>
    </row>
    <row r="13" spans="1:6" ht="15.75" customHeight="1">
      <c r="A13" s="3">
        <v>2</v>
      </c>
      <c r="B13" s="51" t="s">
        <v>28</v>
      </c>
      <c r="C13" s="26">
        <f>'MPG-3'!C13</f>
        <v>3001777</v>
      </c>
      <c r="D13" s="37">
        <f>C13/$C$18</f>
        <v>0.464728554055801</v>
      </c>
      <c r="E13" s="27">
        <f>'MPG-3'!E13</f>
        <v>0.069</v>
      </c>
      <c r="F13" s="27">
        <f>D13*E13</f>
        <v>0.03206627022985027</v>
      </c>
    </row>
    <row r="14" spans="1:6" ht="15.75" customHeight="1">
      <c r="A14" s="3">
        <v>3</v>
      </c>
      <c r="B14" s="88" t="s">
        <v>56</v>
      </c>
      <c r="C14" s="45">
        <f>97900+362900</f>
        <v>460800</v>
      </c>
      <c r="D14" s="37">
        <f>C14/$C$18</f>
        <v>0.07134004881405684</v>
      </c>
      <c r="E14" s="27">
        <f>'MPG-3'!E13</f>
        <v>0.069</v>
      </c>
      <c r="F14" s="27">
        <f>D14*E14</f>
        <v>0.004922463368169923</v>
      </c>
    </row>
    <row r="15" spans="1:6" ht="15.75" customHeight="1">
      <c r="A15" s="3">
        <v>4</v>
      </c>
      <c r="B15" s="48" t="s">
        <v>43</v>
      </c>
      <c r="C15" s="26">
        <f>'MPG-3'!C14</f>
        <v>1889</v>
      </c>
      <c r="D15" s="37">
        <f>C15/$C$18</f>
        <v>0.0002924508511496384</v>
      </c>
      <c r="E15" s="27">
        <f>'MPG-3'!E14</f>
        <v>0.0861</v>
      </c>
      <c r="F15" s="27">
        <f>D15*E15</f>
        <v>2.5180018283983864E-05</v>
      </c>
    </row>
    <row r="16" spans="1:6" ht="15.75" customHeight="1">
      <c r="A16" s="3">
        <v>5</v>
      </c>
      <c r="B16" s="48" t="s">
        <v>29</v>
      </c>
      <c r="C16" s="28">
        <f>'MPG-3'!C15</f>
        <v>2699043</v>
      </c>
      <c r="D16" s="4">
        <f>C16/$C$18</f>
        <v>0.41785993787161113</v>
      </c>
      <c r="E16" s="5">
        <v>0.1012</v>
      </c>
      <c r="F16" s="4">
        <f>D16*E16</f>
        <v>0.042287425712607046</v>
      </c>
    </row>
    <row r="17" spans="2:6" ht="12.75">
      <c r="B17" s="10"/>
      <c r="C17" s="29"/>
      <c r="E17" s="31"/>
      <c r="F17" s="27"/>
    </row>
    <row r="18" spans="1:7" ht="12.75">
      <c r="A18" s="32">
        <v>6</v>
      </c>
      <c r="B18" s="38" t="s">
        <v>24</v>
      </c>
      <c r="C18" s="33">
        <f>SUM(C12:C17)</f>
        <v>6459205</v>
      </c>
      <c r="D18" s="34">
        <f>SUM(D12:D17)</f>
        <v>1</v>
      </c>
      <c r="E18" s="35"/>
      <c r="F18" s="5">
        <f>SUM(F12:F17)</f>
        <v>0.0820114566266282</v>
      </c>
      <c r="G18" s="24"/>
    </row>
    <row r="19" spans="1:7" ht="12.75">
      <c r="A19" s="32"/>
      <c r="B19" s="38"/>
      <c r="C19" s="33"/>
      <c r="D19" s="34"/>
      <c r="E19" s="35"/>
      <c r="F19" s="5"/>
      <c r="G19" s="24"/>
    </row>
    <row r="20" spans="4:6" ht="12.75">
      <c r="D20" s="27"/>
      <c r="E20" s="3"/>
      <c r="F20" s="3"/>
    </row>
    <row r="21" spans="1:5" ht="12.75">
      <c r="A21" s="3"/>
      <c r="B21" s="10" t="s">
        <v>25</v>
      </c>
      <c r="C21" s="10"/>
      <c r="D21" s="36"/>
      <c r="E21" s="27"/>
    </row>
    <row r="22" spans="1:5" ht="12.75">
      <c r="A22" s="3"/>
      <c r="B22" s="17" t="s">
        <v>61</v>
      </c>
      <c r="C22" s="9"/>
      <c r="D22" s="36"/>
      <c r="E22" s="27"/>
    </row>
    <row r="24" spans="3:4" ht="12.75">
      <c r="C24" s="45"/>
      <c r="D24"/>
    </row>
    <row r="25" spans="3:4" ht="12.75">
      <c r="C25" s="45"/>
      <c r="D25"/>
    </row>
    <row r="26" spans="3:4" ht="12.75">
      <c r="C26" s="46"/>
      <c r="D26"/>
    </row>
    <row r="27" spans="3:4" ht="12.75">
      <c r="C27" s="45"/>
      <c r="D27"/>
    </row>
    <row r="28" spans="3:4" ht="12.75">
      <c r="C28" s="43"/>
      <c r="D28"/>
    </row>
  </sheetData>
  <sheetProtection/>
  <mergeCells count="3">
    <mergeCell ref="A1:F1"/>
    <mergeCell ref="A4:F4"/>
    <mergeCell ref="A5:F5"/>
  </mergeCells>
  <printOptions horizontalCentered="1"/>
  <pageMargins left="0.75" right="0.75" top="1" bottom="1" header="0.5" footer="0.5"/>
  <pageSetup horizontalDpi="600" verticalDpi="600" orientation="portrait" scale="99" r:id="rId2"/>
  <headerFooter alignWithMargins="0">
    <oddHeader>&amp;RExhibit No.___(MPG-21)
Page 2 of 3</oddHeader>
  </headerFooter>
  <rowBreaks count="1" manualBreakCount="1">
    <brk id="2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9.140625" style="0" customWidth="1"/>
    <col min="4" max="4" width="14.421875" style="0" bestFit="1" customWidth="1"/>
    <col min="5" max="5" width="33.57421875" style="0" bestFit="1" customWidth="1"/>
  </cols>
  <sheetData>
    <row r="1" spans="1:6" ht="23.25">
      <c r="A1" s="101" t="s">
        <v>96</v>
      </c>
      <c r="B1" s="101"/>
      <c r="C1" s="101"/>
      <c r="D1" s="101"/>
      <c r="E1" s="101"/>
      <c r="F1" s="87"/>
    </row>
    <row r="5" spans="1:5" ht="18">
      <c r="A5" s="95" t="s">
        <v>56</v>
      </c>
      <c r="B5" s="95"/>
      <c r="C5" s="95"/>
      <c r="D5" s="95"/>
      <c r="E5" s="95"/>
    </row>
    <row r="9" ht="12.75">
      <c r="D9" s="2" t="s">
        <v>82</v>
      </c>
    </row>
    <row r="10" spans="2:5" s="1" customFormat="1" ht="12.75">
      <c r="B10" s="1" t="s">
        <v>6</v>
      </c>
      <c r="D10" s="1" t="s">
        <v>83</v>
      </c>
      <c r="E10" s="1" t="s">
        <v>27</v>
      </c>
    </row>
    <row r="11" spans="4:5" ht="12.75">
      <c r="D11" s="11" t="s">
        <v>1</v>
      </c>
      <c r="E11" s="11" t="s">
        <v>3</v>
      </c>
    </row>
    <row r="13" spans="1:5" ht="15.75" customHeight="1">
      <c r="A13" s="3">
        <v>1</v>
      </c>
      <c r="B13" s="3">
        <v>2008</v>
      </c>
      <c r="C13" s="3"/>
      <c r="D13" s="62">
        <v>14921</v>
      </c>
      <c r="E13" s="32" t="s">
        <v>88</v>
      </c>
    </row>
    <row r="14" spans="1:5" ht="15.75" customHeight="1">
      <c r="A14" s="3">
        <v>2</v>
      </c>
      <c r="B14" s="3">
        <v>2009</v>
      </c>
      <c r="C14" s="3"/>
      <c r="D14" s="62">
        <v>14561</v>
      </c>
      <c r="E14" s="32" t="str">
        <f>+E13</f>
        <v>2007 10-K at 101.</v>
      </c>
    </row>
    <row r="15" spans="1:5" ht="15.75" customHeight="1">
      <c r="A15" s="3">
        <v>3</v>
      </c>
      <c r="B15" s="3">
        <v>2010</v>
      </c>
      <c r="C15" s="3"/>
      <c r="D15" s="62">
        <v>12834</v>
      </c>
      <c r="E15" s="32" t="str">
        <f aca="true" t="shared" si="0" ref="E15:E25">+E14</f>
        <v>2007 10-K at 101.</v>
      </c>
    </row>
    <row r="16" spans="1:5" ht="15.75" customHeight="1">
      <c r="A16" s="3">
        <v>4</v>
      </c>
      <c r="B16" s="3">
        <v>2011</v>
      </c>
      <c r="C16" s="3"/>
      <c r="D16" s="62">
        <v>13306</v>
      </c>
      <c r="E16" s="32" t="str">
        <f t="shared" si="0"/>
        <v>2007 10-K at 101.</v>
      </c>
    </row>
    <row r="17" spans="1:5" ht="15.75" customHeight="1">
      <c r="A17" s="3">
        <v>5</v>
      </c>
      <c r="B17" s="3">
        <v>2012</v>
      </c>
      <c r="C17" s="3"/>
      <c r="D17" s="62">
        <v>12357</v>
      </c>
      <c r="E17" s="32" t="str">
        <f t="shared" si="0"/>
        <v>2007 10-K at 101.</v>
      </c>
    </row>
    <row r="18" spans="1:5" ht="15.75" customHeight="1">
      <c r="A18" s="3">
        <v>6</v>
      </c>
      <c r="B18" s="32" t="s">
        <v>32</v>
      </c>
      <c r="C18" s="32"/>
      <c r="D18" s="62">
        <v>77802</v>
      </c>
      <c r="E18" s="32" t="str">
        <f t="shared" si="0"/>
        <v>2007 10-K at 101.</v>
      </c>
    </row>
    <row r="19" spans="1:5" ht="15.75" customHeight="1">
      <c r="A19" s="3">
        <v>7</v>
      </c>
      <c r="B19" s="17" t="s">
        <v>80</v>
      </c>
      <c r="C19" s="32"/>
      <c r="D19" s="86">
        <f>D18/D17</f>
        <v>6.296188395241564</v>
      </c>
      <c r="E19" s="32" t="str">
        <f t="shared" si="0"/>
        <v>2007 10-K at 101.</v>
      </c>
    </row>
    <row r="20" spans="1:5" ht="15.75" customHeight="1">
      <c r="A20" s="3">
        <v>8</v>
      </c>
      <c r="B20" s="32">
        <v>2013</v>
      </c>
      <c r="C20" s="32"/>
      <c r="D20" s="62">
        <f aca="true" t="shared" si="1" ref="D20:D25">$D$18/$D$19</f>
        <v>12357</v>
      </c>
      <c r="E20" s="32" t="str">
        <f t="shared" si="0"/>
        <v>2007 10-K at 101.</v>
      </c>
    </row>
    <row r="21" spans="1:5" ht="15.75" customHeight="1">
      <c r="A21" s="3">
        <v>9</v>
      </c>
      <c r="B21" s="32">
        <v>2014</v>
      </c>
      <c r="C21" s="32"/>
      <c r="D21" s="62">
        <f t="shared" si="1"/>
        <v>12357</v>
      </c>
      <c r="E21" s="32" t="str">
        <f t="shared" si="0"/>
        <v>2007 10-K at 101.</v>
      </c>
    </row>
    <row r="22" spans="1:5" ht="15.75" customHeight="1">
      <c r="A22" s="3">
        <v>10</v>
      </c>
      <c r="B22" s="32">
        <v>2015</v>
      </c>
      <c r="C22" s="32"/>
      <c r="D22" s="62">
        <f t="shared" si="1"/>
        <v>12357</v>
      </c>
      <c r="E22" s="32" t="str">
        <f t="shared" si="0"/>
        <v>2007 10-K at 101.</v>
      </c>
    </row>
    <row r="23" spans="1:5" ht="15.75" customHeight="1">
      <c r="A23" s="3">
        <v>11</v>
      </c>
      <c r="B23" s="32">
        <v>2016</v>
      </c>
      <c r="C23" s="32"/>
      <c r="D23" s="62">
        <f t="shared" si="1"/>
        <v>12357</v>
      </c>
      <c r="E23" s="32" t="str">
        <f t="shared" si="0"/>
        <v>2007 10-K at 101.</v>
      </c>
    </row>
    <row r="24" spans="1:5" ht="15.75" customHeight="1">
      <c r="A24" s="3">
        <v>12</v>
      </c>
      <c r="B24" s="32">
        <v>2017</v>
      </c>
      <c r="C24" s="32"/>
      <c r="D24" s="62">
        <f t="shared" si="1"/>
        <v>12357</v>
      </c>
      <c r="E24" s="32" t="str">
        <f t="shared" si="0"/>
        <v>2007 10-K at 101.</v>
      </c>
    </row>
    <row r="25" spans="1:5" ht="15.75" customHeight="1">
      <c r="A25" s="3">
        <v>13</v>
      </c>
      <c r="B25" s="32">
        <v>2018</v>
      </c>
      <c r="C25" s="32"/>
      <c r="D25" s="62">
        <f t="shared" si="1"/>
        <v>12357</v>
      </c>
      <c r="E25" s="32" t="str">
        <f t="shared" si="0"/>
        <v>2007 10-K at 101.</v>
      </c>
    </row>
    <row r="26" spans="1:4" ht="12.75">
      <c r="A26" s="3"/>
      <c r="B26" s="32"/>
      <c r="C26" s="32"/>
      <c r="D26" s="62"/>
    </row>
    <row r="28" spans="1:5" ht="12.75">
      <c r="A28" s="3">
        <v>14</v>
      </c>
      <c r="B28" s="58" t="s">
        <v>81</v>
      </c>
      <c r="C28" s="58"/>
      <c r="D28" s="63">
        <f>'MPG-3'!E13</f>
        <v>0.069</v>
      </c>
      <c r="E28" s="3" t="s">
        <v>61</v>
      </c>
    </row>
    <row r="29" spans="4:5" ht="12.75">
      <c r="D29" s="3"/>
      <c r="E29" s="3"/>
    </row>
    <row r="30" spans="1:5" ht="12.75">
      <c r="A30" s="3">
        <f>A28+1</f>
        <v>15</v>
      </c>
      <c r="B30" s="58" t="s">
        <v>42</v>
      </c>
      <c r="C30" s="58"/>
      <c r="D30" s="62">
        <f>NPV(D28,D13:D17,D20:D25)</f>
        <v>98568.75834027906</v>
      </c>
      <c r="E30" s="32" t="s">
        <v>86</v>
      </c>
    </row>
    <row r="31" spans="4:5" ht="12.75">
      <c r="D31" s="3"/>
      <c r="E31" s="3"/>
    </row>
    <row r="32" spans="1:5" ht="12.75">
      <c r="A32" s="3">
        <f>A30+1</f>
        <v>16</v>
      </c>
      <c r="B32" s="58" t="s">
        <v>39</v>
      </c>
      <c r="C32" s="58"/>
      <c r="D32" s="62">
        <f>D28*D30</f>
        <v>6801.244325479256</v>
      </c>
      <c r="E32" s="32" t="s">
        <v>85</v>
      </c>
    </row>
    <row r="33" spans="4:5" ht="12.75">
      <c r="D33" s="3"/>
      <c r="E33" s="3"/>
    </row>
    <row r="34" spans="1:5" ht="12.75">
      <c r="A34" s="3">
        <f>A32+1</f>
        <v>17</v>
      </c>
      <c r="B34" s="58" t="s">
        <v>40</v>
      </c>
      <c r="C34" s="58"/>
      <c r="D34" s="62">
        <f>D13-D32</f>
        <v>8119.755674520744</v>
      </c>
      <c r="E34" s="32" t="s">
        <v>87</v>
      </c>
    </row>
    <row r="35" ht="12.75">
      <c r="E35" s="3"/>
    </row>
    <row r="36" ht="12.75">
      <c r="E36" s="3"/>
    </row>
    <row r="37" spans="2:5" ht="12.75">
      <c r="B37" s="58" t="s">
        <v>8</v>
      </c>
      <c r="E37" s="3"/>
    </row>
    <row r="38" ht="12.75">
      <c r="B38" s="17" t="s">
        <v>84</v>
      </c>
    </row>
  </sheetData>
  <sheetProtection/>
  <mergeCells count="2">
    <mergeCell ref="A1:E1"/>
    <mergeCell ref="A5:E5"/>
  </mergeCells>
  <printOptions horizontalCentered="1"/>
  <pageMargins left="0.7" right="0.7" top="1" bottom="0.75" header="0.5" footer="0.3"/>
  <pageSetup horizontalDpi="600" verticalDpi="600" orientation="portrait" scale="89" r:id="rId2"/>
  <headerFooter>
    <oddHeader>&amp;RExhibit No.___(MPG-21)
Page 3 of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7.7109375" style="65" customWidth="1"/>
    <col min="2" max="2" width="16.57421875" style="65" customWidth="1"/>
    <col min="3" max="8" width="11.28125" style="65" bestFit="1" customWidth="1"/>
    <col min="9" max="16384" width="9.140625" style="65" customWidth="1"/>
  </cols>
  <sheetData>
    <row r="1" spans="1:8" ht="26.25">
      <c r="A1" s="100" t="s">
        <v>60</v>
      </c>
      <c r="B1" s="100"/>
      <c r="C1" s="100"/>
      <c r="D1" s="100"/>
      <c r="E1" s="100"/>
      <c r="F1" s="100"/>
      <c r="G1" s="100"/>
      <c r="H1" s="100"/>
    </row>
    <row r="5" spans="1:8" ht="18">
      <c r="A5" s="99" t="s">
        <v>57</v>
      </c>
      <c r="B5" s="99"/>
      <c r="C5" s="99"/>
      <c r="D5" s="99"/>
      <c r="E5" s="99"/>
      <c r="F5" s="99"/>
      <c r="G5" s="99"/>
      <c r="H5" s="99"/>
    </row>
    <row r="9" spans="1:8" s="68" customFormat="1" ht="12.75">
      <c r="A9" s="66" t="s">
        <v>7</v>
      </c>
      <c r="B9" s="66" t="s">
        <v>44</v>
      </c>
      <c r="C9" s="67" t="s">
        <v>45</v>
      </c>
      <c r="D9" s="67" t="s">
        <v>46</v>
      </c>
      <c r="E9" s="67" t="s">
        <v>47</v>
      </c>
      <c r="F9" s="67" t="s">
        <v>48</v>
      </c>
      <c r="G9" s="67" t="s">
        <v>49</v>
      </c>
      <c r="H9" s="67" t="s">
        <v>50</v>
      </c>
    </row>
    <row r="10" spans="3:8" ht="12.75">
      <c r="C10" s="69" t="s">
        <v>1</v>
      </c>
      <c r="D10" s="69" t="s">
        <v>3</v>
      </c>
      <c r="E10" s="69" t="s">
        <v>4</v>
      </c>
      <c r="F10" s="69" t="s">
        <v>30</v>
      </c>
      <c r="G10" s="69" t="s">
        <v>41</v>
      </c>
      <c r="H10" s="69" t="s">
        <v>51</v>
      </c>
    </row>
    <row r="12" spans="1:8" ht="12.75">
      <c r="A12" s="68">
        <v>1</v>
      </c>
      <c r="B12" s="70" t="s">
        <v>28</v>
      </c>
      <c r="C12" s="81">
        <v>2093832</v>
      </c>
      <c r="D12" s="81">
        <v>2335144</v>
      </c>
      <c r="E12" s="81">
        <v>2377499</v>
      </c>
      <c r="F12" s="81">
        <v>2503999</v>
      </c>
      <c r="G12" s="81">
        <v>2772999</v>
      </c>
      <c r="H12" s="81">
        <v>2860249</v>
      </c>
    </row>
    <row r="13" spans="1:8" ht="12.75">
      <c r="A13" s="68">
        <v>2</v>
      </c>
      <c r="B13" s="70" t="s">
        <v>52</v>
      </c>
      <c r="C13" s="81">
        <v>30342</v>
      </c>
      <c r="D13" s="81">
        <v>2</v>
      </c>
      <c r="E13" s="81">
        <v>2</v>
      </c>
      <c r="F13" s="81">
        <v>41000</v>
      </c>
      <c r="G13" s="81">
        <v>352358</v>
      </c>
      <c r="H13" s="81">
        <v>402321</v>
      </c>
    </row>
    <row r="14" spans="1:8" ht="12.75">
      <c r="A14" s="68">
        <v>3</v>
      </c>
      <c r="B14" s="70" t="s">
        <v>43</v>
      </c>
      <c r="C14" s="71">
        <v>103162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</row>
    <row r="15" spans="1:8" ht="15">
      <c r="A15" s="68">
        <v>4</v>
      </c>
      <c r="B15" s="70" t="s">
        <v>53</v>
      </c>
      <c r="C15" s="72">
        <v>1726121</v>
      </c>
      <c r="D15" s="72">
        <v>1555469</v>
      </c>
      <c r="E15" s="72">
        <v>1592433</v>
      </c>
      <c r="F15" s="72">
        <v>1986621</v>
      </c>
      <c r="G15" s="72">
        <v>2092283</v>
      </c>
      <c r="H15" s="72">
        <f>2137113</f>
        <v>2137113</v>
      </c>
    </row>
    <row r="16" spans="1:8" ht="12.75">
      <c r="A16" s="68">
        <v>5</v>
      </c>
      <c r="B16" s="73" t="s">
        <v>24</v>
      </c>
      <c r="C16" s="74">
        <f aca="true" t="shared" si="0" ref="C16:H16">SUM(C12:C15)</f>
        <v>3953457</v>
      </c>
      <c r="D16" s="74">
        <f t="shared" si="0"/>
        <v>3890615</v>
      </c>
      <c r="E16" s="74">
        <f t="shared" si="0"/>
        <v>3969934</v>
      </c>
      <c r="F16" s="74">
        <f t="shared" si="0"/>
        <v>4531620</v>
      </c>
      <c r="G16" s="74">
        <f t="shared" si="0"/>
        <v>5217640</v>
      </c>
      <c r="H16" s="74">
        <f t="shared" si="0"/>
        <v>5399683</v>
      </c>
    </row>
    <row r="17" spans="1:8" ht="12.75">
      <c r="A17" s="68"/>
      <c r="B17" s="73"/>
      <c r="C17" s="74"/>
      <c r="D17" s="74"/>
      <c r="E17" s="74"/>
      <c r="F17" s="74"/>
      <c r="G17" s="74"/>
      <c r="H17" s="74"/>
    </row>
    <row r="18" spans="1:8" ht="12.75">
      <c r="A18" s="68"/>
      <c r="B18" s="73"/>
      <c r="C18" s="74"/>
      <c r="D18" s="74"/>
      <c r="E18" s="74"/>
      <c r="F18" s="74"/>
      <c r="G18" s="74"/>
      <c r="H18" s="74"/>
    </row>
    <row r="19" spans="1:8" ht="12.75">
      <c r="A19" s="68"/>
      <c r="B19" s="73"/>
      <c r="C19" s="74"/>
      <c r="D19" s="74"/>
      <c r="E19" s="74"/>
      <c r="F19" s="74"/>
      <c r="G19" s="74"/>
      <c r="H19" s="74"/>
    </row>
    <row r="20" spans="1:8" ht="12.75">
      <c r="A20" s="66" t="s">
        <v>7</v>
      </c>
      <c r="B20" s="66" t="s">
        <v>44</v>
      </c>
      <c r="C20" s="67" t="s">
        <v>45</v>
      </c>
      <c r="D20" s="67" t="s">
        <v>46</v>
      </c>
      <c r="E20" s="67" t="s">
        <v>47</v>
      </c>
      <c r="F20" s="67" t="s">
        <v>48</v>
      </c>
      <c r="G20" s="67" t="s">
        <v>49</v>
      </c>
      <c r="H20" s="67" t="s">
        <v>50</v>
      </c>
    </row>
    <row r="21" spans="3:8" ht="12.75">
      <c r="C21" s="69" t="s">
        <v>1</v>
      </c>
      <c r="D21" s="69" t="s">
        <v>3</v>
      </c>
      <c r="E21" s="69" t="s">
        <v>4</v>
      </c>
      <c r="F21" s="69" t="s">
        <v>30</v>
      </c>
      <c r="G21" s="69" t="s">
        <v>41</v>
      </c>
      <c r="H21" s="69" t="s">
        <v>51</v>
      </c>
    </row>
    <row r="23" spans="1:8" ht="12.75">
      <c r="A23" s="68">
        <v>6</v>
      </c>
      <c r="B23" s="70" t="s">
        <v>28</v>
      </c>
      <c r="C23" s="75">
        <f aca="true" t="shared" si="1" ref="C23:H23">C12/C$16</f>
        <v>0.5296205321064578</v>
      </c>
      <c r="D23" s="75">
        <f t="shared" si="1"/>
        <v>0.6001991972991416</v>
      </c>
      <c r="E23" s="75">
        <f t="shared" si="1"/>
        <v>0.5988762029796969</v>
      </c>
      <c r="F23" s="75">
        <f t="shared" si="1"/>
        <v>0.5525615563529157</v>
      </c>
      <c r="G23" s="75">
        <f t="shared" si="1"/>
        <v>0.5314661417805752</v>
      </c>
      <c r="H23" s="75">
        <f t="shared" si="1"/>
        <v>0.5297068364939201</v>
      </c>
    </row>
    <row r="24" spans="1:8" ht="12.75">
      <c r="A24" s="68">
        <v>7</v>
      </c>
      <c r="B24" s="70" t="s">
        <v>52</v>
      </c>
      <c r="C24" s="75">
        <f aca="true" t="shared" si="2" ref="C24:H26">C13/C$16</f>
        <v>0.007674802078282374</v>
      </c>
      <c r="D24" s="75">
        <f t="shared" si="2"/>
        <v>5.140575461720063E-07</v>
      </c>
      <c r="E24" s="75">
        <f t="shared" si="2"/>
        <v>5.037867128269639E-07</v>
      </c>
      <c r="F24" s="75">
        <f t="shared" si="2"/>
        <v>0.009047537083868462</v>
      </c>
      <c r="G24" s="75">
        <f t="shared" si="2"/>
        <v>0.0675320643049348</v>
      </c>
      <c r="H24" s="75">
        <f t="shared" si="2"/>
        <v>0.07450826279987177</v>
      </c>
    </row>
    <row r="25" spans="1:8" ht="12.75">
      <c r="A25" s="68">
        <v>8</v>
      </c>
      <c r="B25" s="70" t="s">
        <v>43</v>
      </c>
      <c r="C25" s="75">
        <f t="shared" si="2"/>
        <v>0.026094124711613154</v>
      </c>
      <c r="D25" s="75">
        <f t="shared" si="2"/>
        <v>0</v>
      </c>
      <c r="E25" s="75">
        <f t="shared" si="2"/>
        <v>0</v>
      </c>
      <c r="F25" s="75">
        <f t="shared" si="2"/>
        <v>0</v>
      </c>
      <c r="G25" s="75">
        <f t="shared" si="2"/>
        <v>0</v>
      </c>
      <c r="H25" s="75">
        <f t="shared" si="2"/>
        <v>0</v>
      </c>
    </row>
    <row r="26" spans="1:8" ht="12.75">
      <c r="A26" s="68">
        <v>9</v>
      </c>
      <c r="B26" s="70" t="s">
        <v>53</v>
      </c>
      <c r="C26" s="76">
        <f t="shared" si="2"/>
        <v>0.4366105411036468</v>
      </c>
      <c r="D26" s="76">
        <f t="shared" si="2"/>
        <v>0.3998002886433122</v>
      </c>
      <c r="E26" s="76">
        <f t="shared" si="2"/>
        <v>0.4011232932335903</v>
      </c>
      <c r="F26" s="76">
        <f t="shared" si="2"/>
        <v>0.4383909065632158</v>
      </c>
      <c r="G26" s="76">
        <f t="shared" si="2"/>
        <v>0.4010017939144901</v>
      </c>
      <c r="H26" s="76">
        <f t="shared" si="2"/>
        <v>0.39578490070620814</v>
      </c>
    </row>
    <row r="27" spans="1:8" ht="12.75">
      <c r="A27" s="68">
        <v>10</v>
      </c>
      <c r="B27" s="73" t="s">
        <v>24</v>
      </c>
      <c r="C27" s="77">
        <f aca="true" t="shared" si="3" ref="C27:H27">SUM(C23:C26)</f>
        <v>1</v>
      </c>
      <c r="D27" s="77">
        <f t="shared" si="3"/>
        <v>1</v>
      </c>
      <c r="E27" s="77">
        <f t="shared" si="3"/>
        <v>1</v>
      </c>
      <c r="F27" s="77">
        <f t="shared" si="3"/>
        <v>0.9999999999999999</v>
      </c>
      <c r="G27" s="77">
        <f t="shared" si="3"/>
        <v>1</v>
      </c>
      <c r="H27" s="77">
        <f t="shared" si="3"/>
        <v>1</v>
      </c>
    </row>
  </sheetData>
  <sheetProtection/>
  <mergeCells count="2">
    <mergeCell ref="A5:H5"/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Ackenhausen</dc:creator>
  <cp:keywords/>
  <dc:description/>
  <cp:lastModifiedBy>James Leyko</cp:lastModifiedBy>
  <cp:lastPrinted>2008-05-29T13:51:58Z</cp:lastPrinted>
  <dcterms:created xsi:type="dcterms:W3CDTF">2007-05-08T14:10:56Z</dcterms:created>
  <dcterms:modified xsi:type="dcterms:W3CDTF">2008-05-29T14:49:51Z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