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215" windowWidth="15480" windowHeight="7800" tabRatio="888" activeTab="0"/>
  </bookViews>
  <sheets>
    <sheet name="FEA Adj" sheetId="1" r:id="rId1"/>
    <sheet name="Table for testimony" sheetId="2" r:id="rId2"/>
    <sheet name="11.31E - Storm Adjustment" sheetId="3" r:id="rId3"/>
    <sheet name="O&amp;M" sheetId="4" r:id="rId4"/>
    <sheet name="Storm Amortization" sheetId="5" r:id="rId5"/>
    <sheet name="Catastrophic Storms" sheetId="6" r:id="rId6"/>
    <sheet name="18210201-2006 Storm" sheetId="7" r:id="rId7"/>
    <sheet name="Revised_Final_Defer_121306" sheetId="8" r:id="rId8"/>
  </sheets>
  <definedNames>
    <definedName name="_xlnm._FilterDatabase" localSheetId="7" hidden="1">'Revised_Final_Defer_121306'!$A$1:$AD$214</definedName>
    <definedName name="_xlnm.Print_Area" localSheetId="5">'Catastrophic Storms'!$A$1:$AD$18</definedName>
    <definedName name="_xlnm.Print_Area" localSheetId="0">'FEA Adj'!$A$1:$J$57</definedName>
    <definedName name="_xlnm.Print_Titles" localSheetId="6">'18210201-2006 Storm'!$A:$B</definedName>
    <definedName name="_xlnm.Print_Titles" localSheetId="5">'Catastrophic Storms'!$A:$B</definedName>
    <definedName name="_xlnm.Print_Titles" localSheetId="7">'Revised_Final_Defer_121306'!$1:$1</definedName>
  </definedNames>
  <calcPr fullCalcOnLoad="1"/>
</workbook>
</file>

<file path=xl/sharedStrings.xml><?xml version="1.0" encoding="utf-8"?>
<sst xmlns="http://schemas.openxmlformats.org/spreadsheetml/2006/main" count="2389" uniqueCount="370">
  <si>
    <t>Puget Sound Energy</t>
  </si>
  <si>
    <t>Total</t>
  </si>
  <si>
    <t>O&amp;M Storm Damage</t>
  </si>
  <si>
    <t>Transmission</t>
  </si>
  <si>
    <t>STORM DAMAGE</t>
  </si>
  <si>
    <t>LINE</t>
  </si>
  <si>
    <t>NO.</t>
  </si>
  <si>
    <t>DESCRIPTION</t>
  </si>
  <si>
    <t>AMOUNT</t>
  </si>
  <si>
    <t>NORMAL STORMS</t>
  </si>
  <si>
    <t>Distribution</t>
  </si>
  <si>
    <t>ACTUAL O&amp;M:</t>
  </si>
  <si>
    <t xml:space="preserve">  TWELVE MONTHS ENDED 9/30/02</t>
  </si>
  <si>
    <t xml:space="preserve">  TWELVE MONTHS ENDED 9/30/03</t>
  </si>
  <si>
    <t>TOTAL NORMAL STORMS</t>
  </si>
  <si>
    <t>CATASTROPHIC STORMS</t>
  </si>
  <si>
    <t>INCREASE (DECREASE) NOI</t>
  </si>
  <si>
    <t xml:space="preserve">  TWELVE MONTHS ENDED 9/30/04</t>
  </si>
  <si>
    <t xml:space="preserve">  TWELVE MONTHS ENDED 9/30/05</t>
  </si>
  <si>
    <t>PUGET SOUND ENERGY-ELECTRIC</t>
  </si>
  <si>
    <t>CATASTROPHIC STORMS:</t>
  </si>
  <si>
    <t>INCREASE (DECREASE) OPERATING EXPENSE (LINE 11-LINE 14)</t>
  </si>
  <si>
    <t xml:space="preserve">  TWELVE MONTHS ENDED 9/30/06</t>
  </si>
  <si>
    <t xml:space="preserve">  STORM DAMAGE EXPENSE (LINE 8)</t>
  </si>
  <si>
    <t>Year 2000-2007</t>
  </si>
  <si>
    <t>Amortization expense per month allowed per docket # UE-060266</t>
  </si>
  <si>
    <t>2007 GENERAL RATE CASE</t>
  </si>
  <si>
    <t xml:space="preserve">  TWELVE MONTHS ENDED 9/30/07</t>
  </si>
  <si>
    <t>Twelve Months Ended</t>
  </si>
  <si>
    <t>Three months ended</t>
  </si>
  <si>
    <t>Nine months ended</t>
  </si>
  <si>
    <t>CHARGED TO EXPENSE  12 MONTH ENDED 9/30/07:</t>
  </si>
  <si>
    <t>FOR THE 12ME TWELVE MONTHS ENDED SEPTEMBER 30, 2007</t>
  </si>
  <si>
    <t>At the end of</t>
  </si>
  <si>
    <t>18210191 - December 04, 2003 Wind Storm</t>
  </si>
  <si>
    <t>18210211 - 2007 Storm Damage</t>
  </si>
  <si>
    <t>18210181 - January 16, 2000 Wind Storm</t>
  </si>
  <si>
    <t xml:space="preserve">     = 2,929,947 : 12 = $244,162.25 per month effective 1/13/2007</t>
  </si>
  <si>
    <t>LESS CATASTROPHIC STORM AMORT AS (9/30/07)</t>
  </si>
  <si>
    <t>Order</t>
  </si>
  <si>
    <t>Cost Elem.</t>
  </si>
  <si>
    <t>Cost element name</t>
  </si>
  <si>
    <t>Name</t>
  </si>
  <si>
    <t>Offst.acct</t>
  </si>
  <si>
    <t>Name of offsetting account</t>
  </si>
  <si>
    <t>DocTyp</t>
  </si>
  <si>
    <t>Val.in rep.cur.</t>
  </si>
  <si>
    <t>Postg Date</t>
  </si>
  <si>
    <t>40700010</t>
  </si>
  <si>
    <t>64000100</t>
  </si>
  <si>
    <t>Depreciation &amp; Amort</t>
  </si>
  <si>
    <t>Amort 1/16/00 Deferred Wind Storm</t>
  </si>
  <si>
    <t>18210191</t>
  </si>
  <si>
    <t>12/4/03  Wind Storm</t>
  </si>
  <si>
    <t>SA</t>
  </si>
  <si>
    <t>AB</t>
  </si>
  <si>
    <t>Wind Storm Prorated for Jan. 2007</t>
  </si>
  <si>
    <t>Total Six-Year Storm Expense</t>
  </si>
  <si>
    <t>Six-Year Average Storm Expense</t>
  </si>
  <si>
    <t>Program Def.</t>
  </si>
  <si>
    <t>Restricted Order Ind</t>
  </si>
  <si>
    <t>N, #</t>
  </si>
  <si>
    <t>Cost Element</t>
  </si>
  <si>
    <t>Direct Charges, Corporate Items, Indirect Charges</t>
  </si>
  <si>
    <t>Controlling area</t>
  </si>
  <si>
    <t>Fiscal year/period</t>
  </si>
  <si>
    <t>K1/001/2006..K1/012/2006</t>
  </si>
  <si>
    <t>Fiscal Year Variant</t>
  </si>
  <si>
    <t>K1</t>
  </si>
  <si>
    <t>CO Order</t>
  </si>
  <si>
    <t>2006 Storm Deferrals, 2006 Storm Damage De</t>
  </si>
  <si>
    <t>STM2006Q</t>
  </si>
  <si>
    <t>2006 Storm Damage Deferrable</t>
  </si>
  <si>
    <t>STM0106Q</t>
  </si>
  <si>
    <t>01-01-06 Storm, Qualifying OM</t>
  </si>
  <si>
    <t>STM0106Q2</t>
  </si>
  <si>
    <t>01-31-06 Storm, Qualifying OM</t>
  </si>
  <si>
    <t>STM0206Q</t>
  </si>
  <si>
    <t>Feb  3 2006 Storm Damage Deferrable O&amp;M</t>
  </si>
  <si>
    <t>STM0206Q3</t>
  </si>
  <si>
    <t>02-10-06 storm, Qualifying OM</t>
  </si>
  <si>
    <t>STM0206Q2</t>
  </si>
  <si>
    <t>Feb 17 2006 Storm Damage Deferrable O&amp;M</t>
  </si>
  <si>
    <t>STM0306Q</t>
  </si>
  <si>
    <t>Mar  8 2006 Storm Damage Deferrable O&amp;M</t>
  </si>
  <si>
    <t>STM1106Q2</t>
  </si>
  <si>
    <t>Nov 13 2006 Storm Damage Deferrable O&amp;M</t>
  </si>
  <si>
    <t>STM1106Q3</t>
  </si>
  <si>
    <t>Nov 15 2006 Storm Damage Deferrable O&amp;M</t>
  </si>
  <si>
    <t>STM1106Q4</t>
  </si>
  <si>
    <t>Nov 26 2006 Storm Damage Deferrable O&amp;M</t>
  </si>
  <si>
    <t>STM1206Q</t>
  </si>
  <si>
    <t>Dec 11 2006 Storm Damage Deferrable O&amp;M</t>
  </si>
  <si>
    <t>STM1206Q2</t>
  </si>
  <si>
    <t>Dec 13 2006 Storm Damage Deferrable O&amp;M</t>
  </si>
  <si>
    <t>Total deferrable charges through 2007</t>
  </si>
  <si>
    <t>According to docket # UE 040641, Expense the fist $7 Million</t>
  </si>
  <si>
    <t>Total deferred amount</t>
  </si>
  <si>
    <t>SAP Balance in account # 18210201 - 2006 Storm Excess Cost</t>
  </si>
  <si>
    <t>18210201 - 2006 Storm Damage - December 13, 2006 Storm</t>
  </si>
  <si>
    <t>18210201 - 2006 Storm Damage - Other Storms</t>
  </si>
  <si>
    <t>3ME / 9ME</t>
  </si>
  <si>
    <t>SIX-YEAR AVERAGE STORM EXPENSE FOR RATE YEAR (LINE 9 / 6 YEARS)</t>
  </si>
  <si>
    <t>DEFERRED BALANCES FOR 3 YEAR AMORTIZATION AT</t>
  </si>
  <si>
    <t>START OF RATE YEAR (11/1/08):</t>
  </si>
  <si>
    <t>12/4/03 WINDSTORM</t>
  </si>
  <si>
    <t>2006 STORM DAMAGE (EXCL 12/13/07 WIND STORM)</t>
  </si>
  <si>
    <t>2007 STORM DAMAGE</t>
  </si>
  <si>
    <r>
      <t xml:space="preserve">ANNUAL AMORTIZATION (LINE 25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3 YEARS)</t>
    </r>
  </si>
  <si>
    <t>DEFERRED BALANCES FOR 6 YEAR AMORTIZATION AT</t>
  </si>
  <si>
    <t>12/13/06 WIND STORM</t>
  </si>
  <si>
    <r>
      <t xml:space="preserve">ANNUAL AMORTIZATION (LINE 31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6 YEARS)</t>
    </r>
  </si>
  <si>
    <t>INCREASE (DECREASE) OPERATING EXPENSE (LINE 26 + LINE 32 - LINE 34)</t>
  </si>
  <si>
    <t>TOTAL INCREASE (DECREASE) OPERATING EXPENSE (LINE 16 + LINE 36)</t>
  </si>
  <si>
    <t>INCREASE (DECREASE) FIT @ 35% (LINE 38 X 35%)</t>
  </si>
  <si>
    <t>TOTAL (LINE 22 + LINE 23 + LINE 24)</t>
  </si>
  <si>
    <t>TOTAL (LINE 30)</t>
  </si>
  <si>
    <t>TOTAL RATE YEAR AMORTIZATION (LINE 26 + LINE 32)</t>
  </si>
  <si>
    <t>Docket Number UE-07____</t>
  </si>
  <si>
    <t>Over-expense by $90,290.00</t>
  </si>
  <si>
    <t>Transfer to</t>
  </si>
  <si>
    <t>Order description by County</t>
  </si>
  <si>
    <t>Material Group</t>
  </si>
  <si>
    <t>description</t>
  </si>
  <si>
    <t>Material #</t>
  </si>
  <si>
    <t>TEXT</t>
  </si>
  <si>
    <t>UOP Code</t>
  </si>
  <si>
    <t>Material</t>
  </si>
  <si>
    <t>2006 Quantity</t>
  </si>
  <si>
    <t>2006 Amount</t>
  </si>
  <si>
    <t>2007 Quantity</t>
  </si>
  <si>
    <t>2007 Amount</t>
  </si>
  <si>
    <t>Overall Result Quantity</t>
  </si>
  <si>
    <t>Amount</t>
  </si>
  <si>
    <t>% capitalized</t>
  </si>
  <si>
    <t>Quantity to Capitalize</t>
  </si>
  <si>
    <t>Recalculated cost of materials</t>
  </si>
  <si>
    <t>Average length of a service</t>
  </si>
  <si>
    <t>Number of services</t>
  </si>
  <si>
    <t>Number of services to capitalize</t>
  </si>
  <si>
    <t>Labor standard per unit (hours)</t>
  </si>
  <si>
    <t>Total labor hours</t>
  </si>
  <si>
    <t>Labor hours to capitalize, formula</t>
  </si>
  <si>
    <t>Hourly charge for a 4-man crew plus 2 flaggers</t>
  </si>
  <si>
    <t>Contractor's cost to capitalize</t>
  </si>
  <si>
    <t>Allocate to cap orders (80%)</t>
  </si>
  <si>
    <t>Allocate to retirement orders (20%)</t>
  </si>
  <si>
    <t>Check</t>
  </si>
  <si>
    <t>571004796</t>
  </si>
  <si>
    <t>STANDING STORM-12/13/06 CENTRAL REGION -</t>
  </si>
  <si>
    <t>CABLE/WIR</t>
  </si>
  <si>
    <t>Cable and Wire</t>
  </si>
  <si>
    <t>FEEDER</t>
  </si>
  <si>
    <t>8309500</t>
  </si>
  <si>
    <t>WIRE 397.5ACSR CHICKADE</t>
  </si>
  <si>
    <t>5200</t>
  </si>
  <si>
    <t>OVERHEAD WIRE</t>
  </si>
  <si>
    <t>8310300</t>
  </si>
  <si>
    <t>WIRE 4/0 ACSR PENGUIN</t>
  </si>
  <si>
    <t>8311700</t>
  </si>
  <si>
    <t>WIRE 397KCM AAC CANNA</t>
  </si>
  <si>
    <t>Trans conductor</t>
  </si>
  <si>
    <t>8309000</t>
  </si>
  <si>
    <t>WIRE 1272 ACSR BITTERN</t>
  </si>
  <si>
    <t>8309300</t>
  </si>
  <si>
    <t>WIRE 795 ACSR TERN</t>
  </si>
  <si>
    <t>8311500</t>
  </si>
  <si>
    <t>WIRE 1272KCM AAC NARCIS</t>
  </si>
  <si>
    <t>571004797</t>
  </si>
  <si>
    <t>STANDING STORM-12/13/06 SOUTH REGION - O</t>
  </si>
  <si>
    <t>593071750</t>
  </si>
  <si>
    <t>STANDING STORM-12/13/06 WHATCOM COUNTY</t>
  </si>
  <si>
    <t>SERVICE</t>
  </si>
  <si>
    <t>8318500</t>
  </si>
  <si>
    <t>WIRE 1/0AL TRPLX JANATH</t>
  </si>
  <si>
    <t>dist</t>
  </si>
  <si>
    <t>8310500</t>
  </si>
  <si>
    <t>WIRE 2/0 ACSR QUAIL</t>
  </si>
  <si>
    <t>8318400</t>
  </si>
  <si>
    <t>WIRE 4/0 AL TRPX CERAPU</t>
  </si>
  <si>
    <t>593071751</t>
  </si>
  <si>
    <t>STANDING STORM-12/13/06 SKAGIT COUNTY</t>
  </si>
  <si>
    <t>8480700</t>
  </si>
  <si>
    <t>WIRE 4MHD BARE</t>
  </si>
  <si>
    <t>8480800</t>
  </si>
  <si>
    <t>WIRE 6MHD BR/CUSOL</t>
  </si>
  <si>
    <t>8310800</t>
  </si>
  <si>
    <t>WIRE 2ACSR SPARROW REEL</t>
  </si>
  <si>
    <t>8318101</t>
  </si>
  <si>
    <t>WIRE #2TRIPLX ALUM COIL</t>
  </si>
  <si>
    <t>jumpers</t>
  </si>
  <si>
    <t>8483700</t>
  </si>
  <si>
    <t>WIRE 4DSD SOL B/CU COIL</t>
  </si>
  <si>
    <t>leads transfromer</t>
  </si>
  <si>
    <t>8482200</t>
  </si>
  <si>
    <t>WIRE 4/0SD 7STR BARE CU</t>
  </si>
  <si>
    <t>8318100</t>
  </si>
  <si>
    <t>WIRE 2 TRIPLX ALUM REEL</t>
  </si>
  <si>
    <t>8319500</t>
  </si>
  <si>
    <t>WIRE 1/0 QUDPLX COSTENA</t>
  </si>
  <si>
    <t>8631500</t>
  </si>
  <si>
    <t>WIRE 4/0 19ST 3C600V UG</t>
  </si>
  <si>
    <t>5400</t>
  </si>
  <si>
    <t>UNDERGROUND CABLE &amp; WIRE</t>
  </si>
  <si>
    <t>PIPE</t>
  </si>
  <si>
    <t>Pipe,Conduit,Fitting</t>
  </si>
  <si>
    <t>7634800</t>
  </si>
  <si>
    <t>CONDUIT PVC 2" TYPE DB-120</t>
  </si>
  <si>
    <t>5300</t>
  </si>
  <si>
    <t>UNDERGROUND CONDUIT</t>
  </si>
  <si>
    <t>7642200</t>
  </si>
  <si>
    <t>CONDUIT PVC, 2" IPS, SCH 80</t>
  </si>
  <si>
    <t>593071752</t>
  </si>
  <si>
    <t>STANDING STORM-12/13/06 ISLAND COUNTY</t>
  </si>
  <si>
    <t>8319100</t>
  </si>
  <si>
    <t>WIRE 2 AL QUAD PALOMINO</t>
  </si>
  <si>
    <t>593071753</t>
  </si>
  <si>
    <t>STANDING STORM-12/13/06 NORTH KING COUNT</t>
  </si>
  <si>
    <t>8309730</t>
  </si>
  <si>
    <t>WIRE #2 ACSR TREE WIRE</t>
  </si>
  <si>
    <t>8309700</t>
  </si>
  <si>
    <t>WIRE 336.4 ACSR MERLIN</t>
  </si>
  <si>
    <t>8309750</t>
  </si>
  <si>
    <t>WIRE 336 ACSR TREE WIRE</t>
  </si>
  <si>
    <t>Street Light</t>
  </si>
  <si>
    <t>8631100</t>
  </si>
  <si>
    <t>CABLE#6 7ST 3C 600V UG</t>
  </si>
  <si>
    <t>8597900</t>
  </si>
  <si>
    <t>CABLE 1/0SOL 15KV CNJK</t>
  </si>
  <si>
    <t>8323100</t>
  </si>
  <si>
    <t>CABLE 750 15KV TSHLD JK</t>
  </si>
  <si>
    <t>leads misc</t>
  </si>
  <si>
    <t>8483500</t>
  </si>
  <si>
    <t>WIRE 2DSD SOL BARE CU</t>
  </si>
  <si>
    <t>8482300</t>
  </si>
  <si>
    <t>WIRE 2/0SD 7STR BARE CU</t>
  </si>
  <si>
    <t>ug service</t>
  </si>
  <si>
    <t>8631300</t>
  </si>
  <si>
    <t>WIRE 1/0 19ST 3C600V UG</t>
  </si>
  <si>
    <t>7634900</t>
  </si>
  <si>
    <t>CONDUIT 3" PVC TYPE DB-120</t>
  </si>
  <si>
    <t>7635000</t>
  </si>
  <si>
    <t>CONDUIT PVC 4" TYPE DB-120</t>
  </si>
  <si>
    <t>7635100</t>
  </si>
  <si>
    <t>CONDUIT PVC 6" TYPE DB-120</t>
  </si>
  <si>
    <t>7642300</t>
  </si>
  <si>
    <t>CONDUIT PVC, 3" IPS, SCH 80</t>
  </si>
  <si>
    <t>7642400</t>
  </si>
  <si>
    <t>CONDUIT PVC, 4" IPS, SCH 80</t>
  </si>
  <si>
    <t>7642600</t>
  </si>
  <si>
    <t>CONDUIT PVC, 6" IPS, SCH 80</t>
  </si>
  <si>
    <t>593071754</t>
  </si>
  <si>
    <t>STANDING STORM-12/13/06 SOUTH KING</t>
  </si>
  <si>
    <t>9995384</t>
  </si>
  <si>
    <t>WIRE 4/0 MHD 7 STRAND BARE COPPER</t>
  </si>
  <si>
    <t>8319700</t>
  </si>
  <si>
    <t>WIRE 4/0 QUADX APPALOOS</t>
  </si>
  <si>
    <t>8631700</t>
  </si>
  <si>
    <t>WIRE 350 37ST 3C600V UG</t>
  </si>
  <si>
    <t>8632700</t>
  </si>
  <si>
    <t>WIRE 350 37ST 4C600V UG</t>
  </si>
  <si>
    <t>593071755</t>
  </si>
  <si>
    <t>STANDING STORM-12/13/06 PIERCE COUNTY</t>
  </si>
  <si>
    <t>8319000</t>
  </si>
  <si>
    <t>WIRE 4 ALUM DUPLEX TERR</t>
  </si>
  <si>
    <t>593071756</t>
  </si>
  <si>
    <t>STANDING STORM-12/13/06 THURSTON COUNTY</t>
  </si>
  <si>
    <t>8632500</t>
  </si>
  <si>
    <t>WIRE 4/0 19ST 4C600V UG</t>
  </si>
  <si>
    <t>593071757</t>
  </si>
  <si>
    <t>STANDING STORM-12/13/06 KITSAP COUNTY</t>
  </si>
  <si>
    <t>593071758</t>
  </si>
  <si>
    <t>STANDING STORM-12/13/06 JEFFERSON COUNTY</t>
  </si>
  <si>
    <t>593071759</t>
  </si>
  <si>
    <t>STANDING STORM-12/13/06 VASHON COUNTY</t>
  </si>
  <si>
    <t>594049515</t>
  </si>
  <si>
    <t>STANDING - STORM SOUTH KING - UG REPAIRS</t>
  </si>
  <si>
    <t>594049631</t>
  </si>
  <si>
    <t>STANDING - STORM KITSAP COUNTY</t>
  </si>
  <si>
    <t>594051573</t>
  </si>
  <si>
    <t>594052628</t>
  </si>
  <si>
    <t>TOTAL</t>
  </si>
  <si>
    <t>9999E999 SNQ-LK TRAD NO 1 REBLD 14DEC ST</t>
  </si>
  <si>
    <t>transmission</t>
  </si>
  <si>
    <t>Poles, etc (Quanta's calc)</t>
  </si>
  <si>
    <t>misc</t>
  </si>
  <si>
    <t>STANDING STORM KITSAP COUNTY</t>
  </si>
  <si>
    <t>INSTALLED UNDER STORM 593071759</t>
  </si>
  <si>
    <t xml:space="preserve">STANDING -- TRANSMISSION POLES ISSUED FRom O'brien Yard </t>
  </si>
  <si>
    <t>Total capital</t>
  </si>
  <si>
    <t>???</t>
  </si>
  <si>
    <t>STANDING STORM-12/13/06 WESTERN REGION - OH Transmission</t>
  </si>
  <si>
    <t>SW V DISC 3PST 115KV</t>
  </si>
  <si>
    <t>SWITCH</t>
  </si>
  <si>
    <t>Street Lts &amp; Lamps</t>
  </si>
  <si>
    <t>LUM 200W HPS FLT LNS</t>
  </si>
  <si>
    <t>STREET LIGHT LUM</t>
  </si>
  <si>
    <t>SW 3PST POLE 35KV</t>
  </si>
  <si>
    <t>LUM EARLY AMERICAN PT 70W</t>
  </si>
  <si>
    <t>LUM 100W HPS FLT LNS CH</t>
  </si>
  <si>
    <t>LUM 150W HPS FLAT CH</t>
  </si>
  <si>
    <t>LUM 250W HPS FLT LNC CH</t>
  </si>
  <si>
    <t xml:space="preserve">LUM SBOX 400W HPS FLAT </t>
  </si>
  <si>
    <t>7059000</t>
  </si>
  <si>
    <t>POLE 25' STREET LIGHT LAM 25C CURVED</t>
  </si>
  <si>
    <t>5601</t>
  </si>
  <si>
    <t>STREET LIGHT POLE - WOOD</t>
  </si>
  <si>
    <t>7060002</t>
  </si>
  <si>
    <t>POLE 16'OCT GRAY EXPOSED</t>
  </si>
  <si>
    <t>5602</t>
  </si>
  <si>
    <t>STREET LIGHT POLE-CONCRETE</t>
  </si>
  <si>
    <t>7060302</t>
  </si>
  <si>
    <t>depletePOLE 28'OCT GRY EXP ACYmaint.only</t>
  </si>
  <si>
    <t>7064142</t>
  </si>
  <si>
    <t>POLE S/L 25' SIL FG/MA</t>
  </si>
  <si>
    <t>5600</t>
  </si>
  <si>
    <t>STREET LIGHT POLE-FIBERGLASS</t>
  </si>
  <si>
    <t>9995499</t>
  </si>
  <si>
    <t>POLE S/L 30' SIL FG/MA BREAKAWAY</t>
  </si>
  <si>
    <t>FLOODLIGHT 400W HPS KNUCKLE MOUNT</t>
  </si>
  <si>
    <t>LUM KING K208 MODERNE FLAT LENS BLK 150W</t>
  </si>
  <si>
    <t>9995428</t>
  </si>
  <si>
    <t>POLE 15' MH, OCT, EXPOSED, TENON</t>
  </si>
  <si>
    <t>Vault, Cover, Riser</t>
  </si>
  <si>
    <t>7663501</t>
  </si>
  <si>
    <t>PED SEC 9" X 14" X 30" FG or PE</t>
  </si>
  <si>
    <t>5330</t>
  </si>
  <si>
    <t>PEDESTAL</t>
  </si>
  <si>
    <t>7664300</t>
  </si>
  <si>
    <t>HH W/COVER SEC HDPE 13X24X15</t>
  </si>
  <si>
    <t>5316</t>
  </si>
  <si>
    <t>HANDHOLE HH1324</t>
  </si>
  <si>
    <t>Total SL</t>
  </si>
  <si>
    <t>Conductor&amp;Services</t>
  </si>
  <si>
    <t>Misc T&amp;D</t>
  </si>
  <si>
    <t>Grand Total</t>
  </si>
  <si>
    <t>Contruction OH (4.5%)</t>
  </si>
  <si>
    <t>Labor plus con OH</t>
  </si>
  <si>
    <t>Dec 13 2006 Storm O&amp;M S/B Capitalized</t>
  </si>
  <si>
    <t>Total Dec 13, 2006 Storm Damage Deferrable O&amp;M</t>
  </si>
  <si>
    <t>Difference = O&amp;M Deferral that should have been capitalized</t>
  </si>
  <si>
    <t>(Note)  Amounts presented in bold italic type have changed since the December 3, 2007 original filing.</t>
  </si>
  <si>
    <t>Adjustment to 18210201 - Transfer O&amp;M Deferral to Capital</t>
  </si>
  <si>
    <t>Balance in 18210201 after adjustment</t>
  </si>
  <si>
    <t>Exhibit No. ______ (JHS-11)</t>
  </si>
  <si>
    <t>Page 11.31</t>
  </si>
  <si>
    <t>Summary of PSE Request for Storm Damage Costs</t>
  </si>
  <si>
    <t>Normal Storms</t>
  </si>
  <si>
    <t>Basis</t>
  </si>
  <si>
    <t>Catastrophic Storms:</t>
  </si>
  <si>
    <t>Six-year average</t>
  </si>
  <si>
    <t>2006 storm damage excluding 12/13/07 wind storm)</t>
  </si>
  <si>
    <t>12/4/03 wind storm</t>
  </si>
  <si>
    <t>2007 storm damage</t>
  </si>
  <si>
    <t>Three-year amortization</t>
  </si>
  <si>
    <t>Six-year amortization</t>
  </si>
  <si>
    <t>Total annual storm cost requested by PSE</t>
  </si>
  <si>
    <t>Subtotal Catastrophic Storms</t>
  </si>
  <si>
    <t>Description/Storm Category</t>
  </si>
  <si>
    <t>12/13/06 wind storm</t>
  </si>
  <si>
    <t>Puget</t>
  </si>
  <si>
    <t>FEA</t>
  </si>
  <si>
    <r>
      <t xml:space="preserve">ANNUAL AMORTIZATION (LINE 25 </t>
    </r>
    <r>
      <rPr>
        <sz val="8.8"/>
        <rFont val="Times New Roman"/>
        <family val="1"/>
      </rPr>
      <t>¸</t>
    </r>
    <r>
      <rPr>
        <sz val="10"/>
        <rFont val="Times New Roman"/>
        <family val="1"/>
      </rPr>
      <t xml:space="preserve"> 3 YEARS)</t>
    </r>
  </si>
  <si>
    <r>
      <t xml:space="preserve">ANNUAL AMORTIZATION (LINE 31 </t>
    </r>
    <r>
      <rPr>
        <sz val="8.8"/>
        <rFont val="Times New Roman"/>
        <family val="1"/>
      </rPr>
      <t>¸</t>
    </r>
    <r>
      <rPr>
        <sz val="10"/>
        <rFont val="Times New Roman"/>
        <family val="1"/>
      </rPr>
      <t xml:space="preserve"> 6 YEARS)</t>
    </r>
  </si>
  <si>
    <t>Docket Number UE-072300</t>
  </si>
  <si>
    <t>Exhibit No. ______ (RCS-3)</t>
  </si>
  <si>
    <t>Page 1 of 1</t>
  </si>
  <si>
    <t>15 year amortization</t>
  </si>
  <si>
    <t>FEA Proposed</t>
  </si>
  <si>
    <t>Adjustment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</si>
</sst>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_);_(&quot;$&quot;* \(#,##0.00\);_(&quot;$&quot;* &quot;-&quot;_);_(@_)"/>
    <numFmt numFmtId="167" formatCode="0.000000"/>
    <numFmt numFmtId="168" formatCode="#,##0.0_);\(#,##0.0\)"/>
    <numFmt numFmtId="169" formatCode="#,##0.00_-;#,##0.00\-;&quot; &quot;"/>
    <numFmt numFmtId="170" formatCode="#,##0_-;#,##0\-;&quot; &quot;"/>
    <numFmt numFmtId="171" formatCode="0.000000%"/>
    <numFmt numFmtId="172" formatCode="[$-409]dddd\,\ mmmm\ dd\,\ yyyy"/>
    <numFmt numFmtId="173" formatCode="mm/dd/yyyy"/>
    <numFmt numFmtId="174" formatCode="mmm\-yyyy"/>
    <numFmt numFmtId="175" formatCode="[$-409]mmm\-yy;@"/>
    <numFmt numFmtId="176" formatCode="&quot;$&quot;\ #,##0"/>
    <numFmt numFmtId="177" formatCode="[$-409]mmmm\-yy;@"/>
    <numFmt numFmtId="178" formatCode="&quot;$&quot;#,##0;&quot;$&quot;\ \-\ #,##0"/>
    <numFmt numFmtId="179" formatCode="#,##0\ &quot;FT&quot;"/>
    <numFmt numFmtId="180" formatCode="&quot;$&quot;\ #,##0.00"/>
    <numFmt numFmtId="181" formatCode="#,##0\ &quot;EA&quot;"/>
    <numFmt numFmtId="182" formatCode="#,##0\ &quot;EA&quot;;\-\ #,##0\ &quot;EA&quot;"/>
    <numFmt numFmtId="183" formatCode="&quot;$&quot;#,##0.00;&quot;$&quot;\ \-\ #,##0.00"/>
    <numFmt numFmtId="184" formatCode="&quot;*&quot;"/>
    <numFmt numFmtId="185" formatCode="#,##0\ &quot;PT&quot;"/>
    <numFmt numFmtId="186" formatCode="#,##0\ &quot;QT&quot;"/>
    <numFmt numFmtId="187" formatCode="#,##0\ &quot;LOT&quot;;\-\ #,##0\ &quot;LOT&quot;"/>
    <numFmt numFmtId="188" formatCode="#,##0\ &quot;PAA&quot;"/>
    <numFmt numFmtId="189" formatCode="#,##0\ &quot;PAC&quot;"/>
    <numFmt numFmtId="190" formatCode="#,##0\ &quot;FT&quot;;\-\ #,##0\ &quot;FT&quot;"/>
    <numFmt numFmtId="191" formatCode="#,##0\ &quot;LB&quot;"/>
    <numFmt numFmtId="192" formatCode="#,##0\ &quot;LOT&quot;"/>
    <numFmt numFmtId="193" formatCode="#,##0;\-\ #,##0"/>
    <numFmt numFmtId="194" formatCode="#,##0\ &quot;BOX&quot;"/>
    <numFmt numFmtId="195" formatCode="#,##0\ &quot;ROL&quot;"/>
    <numFmt numFmtId="196" formatCode="_(* #,##0.0_);_(* \(#,##0.0\);_(* &quot;-&quot;??_);_(@_)"/>
    <numFmt numFmtId="197" formatCode="mmmm\ d\,\ yyyy"/>
    <numFmt numFmtId="198" formatCode="#,##0.000\ &quot;FT&quot;"/>
    <numFmt numFmtId="199" formatCode="#,##0.000\ &quot;FT&quot;;\-\ #,##0.000\ &quot;FT&quot;"/>
    <numFmt numFmtId="200" formatCode="#,##0.000\ &quot;EA&quot;"/>
    <numFmt numFmtId="201" formatCode="#,##0.000\ &quot;EA&quot;;\-\ #,##0.000\ &quot;EA&quot;"/>
    <numFmt numFmtId="202" formatCode="&quot;$&quot;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&quot;$&quot;* #,##0.0_);_(&quot;$&quot;* \(#,##0.0\);_(&quot;$&quot;* &quot;-&quot;??_);_(@_)"/>
    <numFmt numFmtId="208" formatCode="0.00000"/>
    <numFmt numFmtId="209" formatCode="0.0000"/>
    <numFmt numFmtId="210" formatCode="0.000"/>
    <numFmt numFmtId="211" formatCode="0.0"/>
    <numFmt numFmtId="212" formatCode="&quot;$&quot;#,##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8"/>
      <color indexed="6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.8"/>
      <name val="Symbol"/>
      <family val="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8"/>
      <color indexed="8"/>
      <name val="Arial"/>
      <family val="2"/>
    </font>
    <font>
      <b/>
      <i/>
      <sz val="10"/>
      <name val="Times New Roman"/>
      <family val="1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/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/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04">
    <xf numFmtId="167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4" fontId="11" fillId="22" borderId="8" applyNumberFormat="0" applyProtection="0">
      <alignment vertical="center"/>
    </xf>
    <xf numFmtId="4" fontId="19" fillId="22" borderId="8" applyNumberFormat="0" applyProtection="0">
      <alignment vertical="center"/>
    </xf>
    <xf numFmtId="4" fontId="11" fillId="22" borderId="8" applyNumberFormat="0" applyProtection="0">
      <alignment horizontal="left" vertical="center" indent="1"/>
    </xf>
    <xf numFmtId="4" fontId="11" fillId="22" borderId="8" applyNumberFormat="0" applyProtection="0">
      <alignment horizontal="left" vertical="center" indent="1"/>
    </xf>
    <xf numFmtId="0" fontId="0" fillId="24" borderId="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11" fillId="3" borderId="8" applyNumberFormat="0" applyProtection="0">
      <alignment horizontal="right" vertical="center"/>
    </xf>
    <xf numFmtId="4" fontId="11" fillId="9" borderId="8" applyNumberFormat="0" applyProtection="0">
      <alignment horizontal="right" vertical="center"/>
    </xf>
    <xf numFmtId="4" fontId="11" fillId="17" borderId="8" applyNumberFormat="0" applyProtection="0">
      <alignment horizontal="right" vertical="center"/>
    </xf>
    <xf numFmtId="4" fontId="11" fillId="11" borderId="8" applyNumberFormat="0" applyProtection="0">
      <alignment horizontal="right" vertical="center"/>
    </xf>
    <xf numFmtId="4" fontId="11" fillId="15" borderId="8" applyNumberFormat="0" applyProtection="0">
      <alignment horizontal="right" vertical="center"/>
    </xf>
    <xf numFmtId="4" fontId="11" fillId="19" borderId="8" applyNumberFormat="0" applyProtection="0">
      <alignment horizontal="right" vertical="center"/>
    </xf>
    <xf numFmtId="4" fontId="11" fillId="18" borderId="8" applyNumberFormat="0" applyProtection="0">
      <alignment horizontal="right" vertical="center"/>
    </xf>
    <xf numFmtId="4" fontId="11" fillId="25" borderId="8" applyNumberFormat="0" applyProtection="0">
      <alignment horizontal="right" vertical="center"/>
    </xf>
    <xf numFmtId="4" fontId="11" fillId="10" borderId="8" applyNumberFormat="0" applyProtection="0">
      <alignment horizontal="right" vertical="center"/>
    </xf>
    <xf numFmtId="4" fontId="12" fillId="26" borderId="0" applyNumberFormat="0" applyProtection="0">
      <alignment horizontal="left" vertical="center" indent="1"/>
    </xf>
    <xf numFmtId="4" fontId="11" fillId="27" borderId="0" applyNumberFormat="0" applyProtection="0">
      <alignment horizontal="left" vertical="center" indent="1"/>
    </xf>
    <xf numFmtId="4" fontId="20" fillId="28" borderId="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0" fillId="29" borderId="8" applyNumberFormat="0" applyProtection="0">
      <alignment horizontal="left" vertical="center" indent="1"/>
    </xf>
    <xf numFmtId="0" fontId="0" fillId="29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11" fillId="23" borderId="8" applyNumberFormat="0" applyProtection="0">
      <alignment vertical="center"/>
    </xf>
    <xf numFmtId="4" fontId="19" fillId="23" borderId="8" applyNumberFormat="0" applyProtection="0">
      <alignment vertical="center"/>
    </xf>
    <xf numFmtId="4" fontId="11" fillId="23" borderId="8" applyNumberFormat="0" applyProtection="0">
      <alignment horizontal="left" vertical="center" indent="1"/>
    </xf>
    <xf numFmtId="4" fontId="11" fillId="23" borderId="8" applyNumberFormat="0" applyProtection="0">
      <alignment horizontal="left" vertical="center" indent="1"/>
    </xf>
    <xf numFmtId="4" fontId="11" fillId="27" borderId="8" applyNumberFormat="0" applyProtection="0">
      <alignment horizontal="right" vertical="center"/>
    </xf>
    <xf numFmtId="4" fontId="19" fillId="27" borderId="8" applyNumberFormat="0" applyProtection="0">
      <alignment horizontal="right" vertical="center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14" fillId="0" borderId="0" applyNumberFormat="0" applyProtection="0">
      <alignment horizontal="left" indent="5"/>
    </xf>
    <xf numFmtId="4" fontId="21" fillId="27" borderId="8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4"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Alignment="1" quotePrefix="1">
      <alignment horizontal="left"/>
    </xf>
    <xf numFmtId="0" fontId="0" fillId="0" borderId="10" xfId="0" applyNumberFormat="1" applyBorder="1" applyAlignment="1">
      <alignment/>
    </xf>
    <xf numFmtId="0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 quotePrefix="1">
      <alignment horizontal="left"/>
    </xf>
    <xf numFmtId="43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4" fillId="0" borderId="12" xfId="0" applyNumberFormat="1" applyFont="1" applyFill="1" applyBorder="1" applyAlignment="1">
      <alignment horizontal="right"/>
    </xf>
    <xf numFmtId="167" fontId="0" fillId="0" borderId="0" xfId="0" applyFont="1" applyFill="1" applyAlignment="1">
      <alignment horizontal="left" wrapText="1"/>
    </xf>
    <xf numFmtId="43" fontId="0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2" fillId="0" borderId="17" xfId="0" applyNumberFormat="1" applyFont="1" applyFill="1" applyBorder="1" applyAlignment="1">
      <alignment/>
    </xf>
    <xf numFmtId="17" fontId="0" fillId="0" borderId="15" xfId="0" applyNumberFormat="1" applyFont="1" applyFill="1" applyBorder="1" applyAlignment="1">
      <alignment horizontal="center"/>
    </xf>
    <xf numFmtId="17" fontId="0" fillId="0" borderId="13" xfId="0" applyNumberFormat="1" applyFont="1" applyFill="1" applyBorder="1" applyAlignment="1">
      <alignment horizontal="center"/>
    </xf>
    <xf numFmtId="42" fontId="2" fillId="0" borderId="11" xfId="0" applyNumberFormat="1" applyFont="1" applyBorder="1" applyAlignment="1">
      <alignment/>
    </xf>
    <xf numFmtId="42" fontId="2" fillId="0" borderId="18" xfId="0" applyNumberFormat="1" applyFont="1" applyBorder="1" applyAlignment="1">
      <alignment/>
    </xf>
    <xf numFmtId="42" fontId="2" fillId="0" borderId="10" xfId="0" applyNumberFormat="1" applyFont="1" applyBorder="1" applyAlignment="1">
      <alignment/>
    </xf>
    <xf numFmtId="42" fontId="2" fillId="0" borderId="19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left"/>
    </xf>
    <xf numFmtId="0" fontId="0" fillId="0" borderId="20" xfId="0" applyNumberForma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21" xfId="0" applyNumberFormat="1" applyFont="1" applyBorder="1" applyAlignment="1">
      <alignment horizontal="center"/>
    </xf>
    <xf numFmtId="17" fontId="9" fillId="0" borderId="22" xfId="0" applyNumberFormat="1" applyFont="1" applyBorder="1" applyAlignment="1">
      <alignment horizontal="center"/>
    </xf>
    <xf numFmtId="17" fontId="9" fillId="0" borderId="22" xfId="0" applyNumberFormat="1" applyFont="1" applyFill="1" applyBorder="1" applyAlignment="1">
      <alignment horizontal="center"/>
    </xf>
    <xf numFmtId="43" fontId="9" fillId="0" borderId="23" xfId="0" applyNumberFormat="1" applyFont="1" applyBorder="1" applyAlignment="1">
      <alignment/>
    </xf>
    <xf numFmtId="43" fontId="9" fillId="0" borderId="23" xfId="0" applyNumberFormat="1" applyFont="1" applyFill="1" applyBorder="1" applyAlignment="1">
      <alignment/>
    </xf>
    <xf numFmtId="43" fontId="9" fillId="0" borderId="24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left" wrapText="1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167" fontId="2" fillId="0" borderId="14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left" wrapText="1"/>
    </xf>
    <xf numFmtId="175" fontId="0" fillId="0" borderId="25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wrapText="1"/>
    </xf>
    <xf numFmtId="175" fontId="0" fillId="0" borderId="13" xfId="0" applyNumberFormat="1" applyFont="1" applyFill="1" applyBorder="1" applyAlignment="1">
      <alignment horizontal="center" wrapText="1"/>
    </xf>
    <xf numFmtId="44" fontId="0" fillId="0" borderId="25" xfId="0" applyNumberFormat="1" applyFont="1" applyFill="1" applyBorder="1" applyAlignment="1">
      <alignment horizontal="left" wrapText="1"/>
    </xf>
    <xf numFmtId="0" fontId="1" fillId="0" borderId="0" xfId="57" applyFont="1">
      <alignment/>
      <protection/>
    </xf>
    <xf numFmtId="0" fontId="1" fillId="0" borderId="0" xfId="57" applyFont="1" applyProtection="1" quotePrefix="1">
      <alignment/>
      <protection locked="0"/>
    </xf>
    <xf numFmtId="0" fontId="0" fillId="0" borderId="0" xfId="57">
      <alignment/>
      <protection/>
    </xf>
    <xf numFmtId="0" fontId="15" fillId="0" borderId="0" xfId="82" applyNumberFormat="1" applyFont="1" applyProtection="1">
      <alignment horizontal="left" vertical="center" indent="1"/>
      <protection locked="0"/>
    </xf>
    <xf numFmtId="0" fontId="15" fillId="0" borderId="0" xfId="81" applyNumberFormat="1" applyFont="1" applyProtection="1" quotePrefix="1">
      <alignment horizontal="left" vertical="center" indent="1"/>
      <protection locked="0"/>
    </xf>
    <xf numFmtId="0" fontId="1" fillId="0" borderId="0" xfId="57" applyFont="1" applyProtection="1">
      <alignment/>
      <protection locked="0"/>
    </xf>
    <xf numFmtId="0" fontId="1" fillId="0" borderId="0" xfId="66" applyFont="1" applyFill="1" applyProtection="1" quotePrefix="1">
      <alignment horizontal="left" vertical="center" indent="1"/>
      <protection locked="0"/>
    </xf>
    <xf numFmtId="175" fontId="4" fillId="20" borderId="8" xfId="86" applyNumberFormat="1" applyFont="1" applyFill="1" applyBorder="1" applyAlignment="1">
      <alignment horizontal="left" vertical="center" wrapText="1" indent="2"/>
    </xf>
    <xf numFmtId="0" fontId="4" fillId="0" borderId="8" xfId="83" applyFont="1" applyFill="1" applyBorder="1" applyAlignment="1" applyProtection="1" quotePrefix="1">
      <alignment horizontal="left" vertical="center" indent="2"/>
      <protection locked="0"/>
    </xf>
    <xf numFmtId="0" fontId="4" fillId="0" borderId="8" xfId="83" applyFont="1" applyFill="1" applyBorder="1" applyAlignment="1" applyProtection="1" quotePrefix="1">
      <alignment vertical="center"/>
      <protection locked="0"/>
    </xf>
    <xf numFmtId="42" fontId="16" fillId="0" borderId="26" xfId="95" applyNumberFormat="1" applyFont="1" applyFill="1" applyBorder="1">
      <alignment horizontal="right" vertical="center"/>
    </xf>
    <xf numFmtId="0" fontId="1" fillId="0" borderId="27" xfId="85" applyFont="1" applyFill="1" applyBorder="1" applyAlignment="1" applyProtection="1" quotePrefix="1">
      <alignment horizontal="center" vertical="center"/>
      <protection locked="0"/>
    </xf>
    <xf numFmtId="0" fontId="1" fillId="0" borderId="27" xfId="85" applyFont="1" applyFill="1" applyBorder="1" applyAlignment="1" applyProtection="1" quotePrefix="1">
      <alignment vertical="center"/>
      <protection locked="0"/>
    </xf>
    <xf numFmtId="41" fontId="17" fillId="0" borderId="27" xfId="95" applyNumberFormat="1" applyFont="1" applyFill="1" applyBorder="1">
      <alignment horizontal="right" vertical="center"/>
    </xf>
    <xf numFmtId="0" fontId="1" fillId="0" borderId="26" xfId="85" applyFont="1" applyFill="1" applyBorder="1" applyAlignment="1" applyProtection="1" quotePrefix="1">
      <alignment horizontal="center" vertical="center"/>
      <protection locked="0"/>
    </xf>
    <xf numFmtId="41" fontId="17" fillId="0" borderId="26" xfId="95" applyNumberFormat="1" applyFont="1" applyFill="1" applyBorder="1">
      <alignment horizontal="right" vertical="center"/>
    </xf>
    <xf numFmtId="0" fontId="1" fillId="20" borderId="28" xfId="57" applyFont="1" applyFill="1" applyBorder="1">
      <alignment/>
      <protection/>
    </xf>
    <xf numFmtId="0" fontId="1" fillId="20" borderId="29" xfId="57" applyFont="1" applyFill="1" applyBorder="1">
      <alignment/>
      <protection/>
    </xf>
    <xf numFmtId="0" fontId="4" fillId="20" borderId="30" xfId="57" applyFont="1" applyFill="1" applyBorder="1" applyAlignment="1">
      <alignment horizontal="right"/>
      <protection/>
    </xf>
    <xf numFmtId="42" fontId="4" fillId="20" borderId="31" xfId="57" applyNumberFormat="1" applyFont="1" applyFill="1" applyBorder="1">
      <alignment/>
      <protection/>
    </xf>
    <xf numFmtId="0" fontId="1" fillId="20" borderId="32" xfId="57" applyFont="1" applyFill="1" applyBorder="1">
      <alignment/>
      <protection/>
    </xf>
    <xf numFmtId="0" fontId="1" fillId="20" borderId="0" xfId="57" applyFont="1" applyFill="1" applyBorder="1">
      <alignment/>
      <protection/>
    </xf>
    <xf numFmtId="0" fontId="4" fillId="20" borderId="33" xfId="57" applyFont="1" applyFill="1" applyBorder="1" applyAlignment="1">
      <alignment horizontal="right"/>
      <protection/>
    </xf>
    <xf numFmtId="41" fontId="4" fillId="20" borderId="34" xfId="57" applyNumberFormat="1" applyFont="1" applyFill="1" applyBorder="1">
      <alignment/>
      <protection/>
    </xf>
    <xf numFmtId="41" fontId="4" fillId="20" borderId="35" xfId="57" applyNumberFormat="1" applyFont="1" applyFill="1" applyBorder="1">
      <alignment/>
      <protection/>
    </xf>
    <xf numFmtId="0" fontId="1" fillId="20" borderId="36" xfId="57" applyFont="1" applyFill="1" applyBorder="1">
      <alignment/>
      <protection/>
    </xf>
    <xf numFmtId="0" fontId="1" fillId="20" borderId="37" xfId="57" applyFont="1" applyFill="1" applyBorder="1">
      <alignment/>
      <protection/>
    </xf>
    <xf numFmtId="0" fontId="4" fillId="20" borderId="38" xfId="57" applyFont="1" applyFill="1" applyBorder="1" applyAlignment="1">
      <alignment horizontal="right"/>
      <protection/>
    </xf>
    <xf numFmtId="42" fontId="4" fillId="20" borderId="39" xfId="57" applyNumberFormat="1" applyFont="1" applyFill="1" applyBorder="1">
      <alignment/>
      <protection/>
    </xf>
    <xf numFmtId="41" fontId="1" fillId="0" borderId="0" xfId="57" applyNumberFormat="1" applyFont="1">
      <alignment/>
      <protection/>
    </xf>
    <xf numFmtId="43" fontId="1" fillId="0" borderId="0" xfId="57" applyNumberFormat="1" applyFont="1">
      <alignment/>
      <protection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left" wrapText="1"/>
    </xf>
    <xf numFmtId="43" fontId="0" fillId="0" borderId="40" xfId="0" applyNumberFormat="1" applyFont="1" applyFill="1" applyBorder="1" applyAlignment="1">
      <alignment horizontal="left" wrapText="1"/>
    </xf>
    <xf numFmtId="175" fontId="0" fillId="0" borderId="40" xfId="0" applyNumberFormat="1" applyFont="1" applyFill="1" applyBorder="1" applyAlignment="1">
      <alignment horizontal="center" wrapText="1"/>
    </xf>
    <xf numFmtId="44" fontId="2" fillId="0" borderId="41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 applyAlignment="1">
      <alignment horizontal="left"/>
    </xf>
    <xf numFmtId="17" fontId="0" fillId="0" borderId="40" xfId="0" applyNumberFormat="1" applyFont="1" applyFill="1" applyBorder="1" applyAlignment="1">
      <alignment horizontal="center"/>
    </xf>
    <xf numFmtId="41" fontId="0" fillId="0" borderId="40" xfId="0" applyNumberForma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1" fillId="0" borderId="0" xfId="0" applyNumberFormat="1" applyFont="1" applyFill="1" applyAlignment="1" quotePrefix="1">
      <alignment/>
    </xf>
    <xf numFmtId="167" fontId="1" fillId="0" borderId="0" xfId="0" applyFont="1" applyFill="1" applyBorder="1" applyAlignment="1" applyProtection="1">
      <alignment horizontal="left"/>
      <protection locked="0"/>
    </xf>
    <xf numFmtId="167" fontId="1" fillId="0" borderId="0" xfId="0" applyFont="1" applyFill="1" applyAlignment="1">
      <alignment/>
    </xf>
    <xf numFmtId="167" fontId="1" fillId="0" borderId="0" xfId="0" applyFont="1" applyFill="1" applyAlignment="1">
      <alignment horizontal="left" indent="1"/>
    </xf>
    <xf numFmtId="167" fontId="1" fillId="0" borderId="0" xfId="0" applyFont="1" applyFill="1" applyAlignment="1">
      <alignment horizontal="left"/>
    </xf>
    <xf numFmtId="167" fontId="1" fillId="0" borderId="0" xfId="0" applyFont="1" applyFill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 horizontal="right"/>
      <protection locked="0"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right"/>
      <protection locked="0"/>
    </xf>
    <xf numFmtId="41" fontId="1" fillId="0" borderId="0" xfId="42" applyNumberFormat="1" applyFont="1" applyFill="1" applyAlignment="1">
      <alignment horizontal="right"/>
    </xf>
    <xf numFmtId="41" fontId="1" fillId="0" borderId="0" xfId="0" applyNumberFormat="1" applyFont="1" applyFill="1" applyAlignment="1">
      <alignment/>
    </xf>
    <xf numFmtId="41" fontId="1" fillId="0" borderId="0" xfId="42" applyNumberFormat="1" applyFont="1" applyFill="1" applyAlignment="1">
      <alignment/>
    </xf>
    <xf numFmtId="41" fontId="1" fillId="0" borderId="0" xfId="0" applyNumberFormat="1" applyFont="1" applyFill="1" applyAlignment="1">
      <alignment horizontal="left"/>
    </xf>
    <xf numFmtId="41" fontId="1" fillId="0" borderId="10" xfId="42" applyNumberFormat="1" applyFont="1" applyFill="1" applyBorder="1" applyAlignment="1" applyProtection="1">
      <alignment horizontal="right"/>
      <protection locked="0"/>
    </xf>
    <xf numFmtId="41" fontId="1" fillId="0" borderId="1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 applyAlignment="1" quotePrefix="1">
      <alignment horizontal="left"/>
    </xf>
    <xf numFmtId="41" fontId="1" fillId="0" borderId="0" xfId="0" applyNumberFormat="1" applyFont="1" applyFill="1" applyAlignment="1">
      <alignment horizontal="left" wrapText="1"/>
    </xf>
    <xf numFmtId="41" fontId="0" fillId="0" borderId="0" xfId="0" applyNumberFormat="1" applyFill="1" applyAlignment="1">
      <alignment/>
    </xf>
    <xf numFmtId="42" fontId="1" fillId="0" borderId="0" xfId="0" applyNumberFormat="1" applyFont="1" applyFill="1" applyAlignment="1" applyProtection="1">
      <alignment horizontal="right"/>
      <protection locked="0"/>
    </xf>
    <xf numFmtId="41" fontId="1" fillId="0" borderId="10" xfId="0" applyNumberFormat="1" applyFont="1" applyFill="1" applyBorder="1" applyAlignment="1">
      <alignment horizontal="left" indent="1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>
      <alignment horizontal="center"/>
    </xf>
    <xf numFmtId="167" fontId="4" fillId="0" borderId="0" xfId="0" applyFont="1" applyFill="1" applyAlignment="1">
      <alignment horizontal="right"/>
    </xf>
    <xf numFmtId="0" fontId="22" fillId="0" borderId="26" xfId="65" applyNumberFormat="1" applyFont="1" applyFill="1" applyBorder="1" applyAlignment="1" applyProtection="1">
      <alignment horizontal="center" vertical="center" wrapText="1"/>
      <protection locked="0"/>
    </xf>
    <xf numFmtId="42" fontId="4" fillId="0" borderId="42" xfId="57" applyNumberFormat="1" applyFont="1" applyFill="1" applyBorder="1">
      <alignment/>
      <protection/>
    </xf>
    <xf numFmtId="0" fontId="1" fillId="0" borderId="27" xfId="85" applyFont="1" applyFill="1" applyBorder="1" applyAlignment="1" applyProtection="1">
      <alignment vertical="center"/>
      <protection locked="0"/>
    </xf>
    <xf numFmtId="0" fontId="1" fillId="0" borderId="26" xfId="85" applyFont="1" applyFill="1" applyBorder="1" applyAlignment="1" applyProtection="1">
      <alignment vertical="center"/>
      <protection locked="0"/>
    </xf>
    <xf numFmtId="41" fontId="17" fillId="0" borderId="43" xfId="95" applyNumberFormat="1" applyFont="1" applyFill="1" applyBorder="1">
      <alignment horizontal="right" vertical="center"/>
    </xf>
    <xf numFmtId="41" fontId="0" fillId="0" borderId="0" xfId="57" applyNumberFormat="1">
      <alignment/>
      <protection/>
    </xf>
    <xf numFmtId="41" fontId="23" fillId="0" borderId="10" xfId="0" applyNumberFormat="1" applyFont="1" applyFill="1" applyBorder="1" applyAlignment="1">
      <alignment horizontal="left" indent="1"/>
    </xf>
    <xf numFmtId="0" fontId="23" fillId="0" borderId="0" xfId="0" applyNumberFormat="1" applyFont="1" applyFill="1" applyAlignment="1">
      <alignment horizontal="left"/>
    </xf>
    <xf numFmtId="0" fontId="24" fillId="5" borderId="44" xfId="67" applyFont="1" applyFill="1" applyBorder="1" applyAlignment="1" applyProtection="1">
      <alignment horizontal="center" vertical="center"/>
      <protection locked="0"/>
    </xf>
    <xf numFmtId="9" fontId="24" fillId="0" borderId="27" xfId="61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202" fontId="5" fillId="0" borderId="0" xfId="58" applyNumberFormat="1" applyFont="1" applyFill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Alignment="1">
      <alignment/>
      <protection/>
    </xf>
    <xf numFmtId="0" fontId="26" fillId="0" borderId="0" xfId="58" applyFont="1" applyFill="1">
      <alignment/>
      <protection/>
    </xf>
    <xf numFmtId="165" fontId="5" fillId="0" borderId="0" xfId="42" applyNumberFormat="1" applyFont="1" applyFill="1" applyAlignment="1">
      <alignment/>
    </xf>
    <xf numFmtId="44" fontId="5" fillId="0" borderId="0" xfId="44" applyFont="1" applyFill="1" applyAlignment="1">
      <alignment/>
    </xf>
    <xf numFmtId="9" fontId="5" fillId="0" borderId="0" xfId="61" applyFont="1" applyFill="1" applyAlignment="1">
      <alignment horizontal="center"/>
    </xf>
    <xf numFmtId="4" fontId="5" fillId="0" borderId="0" xfId="58" applyNumberFormat="1" applyFont="1" applyFill="1">
      <alignment/>
      <protection/>
    </xf>
    <xf numFmtId="0" fontId="5" fillId="7" borderId="0" xfId="58" applyFont="1" applyFill="1" applyBorder="1">
      <alignment/>
      <protection/>
    </xf>
    <xf numFmtId="202" fontId="27" fillId="0" borderId="0" xfId="58" applyNumberFormat="1" applyFont="1" applyFill="1">
      <alignment/>
      <protection/>
    </xf>
    <xf numFmtId="0" fontId="5" fillId="0" borderId="0" xfId="58" applyFont="1" applyAlignment="1">
      <alignment/>
      <protection/>
    </xf>
    <xf numFmtId="9" fontId="5" fillId="0" borderId="0" xfId="61" applyFont="1" applyAlignment="1">
      <alignment horizontal="center"/>
    </xf>
    <xf numFmtId="11" fontId="5" fillId="0" borderId="0" xfId="97" applyNumberFormat="1" applyFont="1" applyFill="1" applyBorder="1" applyProtection="1" quotePrefix="1">
      <alignment horizontal="left" vertical="center" indent="1"/>
      <protection locked="0"/>
    </xf>
    <xf numFmtId="0" fontId="5" fillId="0" borderId="0" xfId="97" applyFont="1" applyFill="1" applyBorder="1" applyAlignment="1" applyProtection="1">
      <alignment horizontal="center" vertical="center"/>
      <protection locked="0"/>
    </xf>
    <xf numFmtId="0" fontId="5" fillId="0" borderId="0" xfId="58" applyFont="1" applyAlignment="1">
      <alignment horizontal="center"/>
      <protection/>
    </xf>
    <xf numFmtId="180" fontId="25" fillId="0" borderId="45" xfId="95" applyNumberFormat="1" applyFont="1" applyFill="1" applyBorder="1" applyProtection="1">
      <alignment horizontal="right" vertical="center"/>
      <protection locked="0"/>
    </xf>
    <xf numFmtId="180" fontId="25" fillId="0" borderId="45" xfId="62" applyNumberFormat="1" applyFont="1" applyFill="1" applyBorder="1" applyProtection="1">
      <alignment vertical="center"/>
      <protection locked="0"/>
    </xf>
    <xf numFmtId="0" fontId="5" fillId="0" borderId="45" xfId="58" applyFont="1" applyFill="1" applyBorder="1" applyAlignment="1">
      <alignment horizontal="center"/>
      <protection/>
    </xf>
    <xf numFmtId="202" fontId="5" fillId="0" borderId="45" xfId="58" applyNumberFormat="1" applyFont="1" applyFill="1" applyBorder="1">
      <alignment/>
      <protection/>
    </xf>
    <xf numFmtId="44" fontId="5" fillId="0" borderId="45" xfId="58" applyNumberFormat="1" applyFont="1" applyFill="1" applyBorder="1">
      <alignment/>
      <protection/>
    </xf>
    <xf numFmtId="44" fontId="5" fillId="0" borderId="46" xfId="58" applyNumberFormat="1" applyFont="1" applyFill="1" applyBorder="1">
      <alignment/>
      <protection/>
    </xf>
    <xf numFmtId="0" fontId="5" fillId="0" borderId="47" xfId="58" applyFont="1" applyBorder="1">
      <alignment/>
      <protection/>
    </xf>
    <xf numFmtId="0" fontId="5" fillId="0" borderId="47" xfId="58" applyFont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202" fontId="5" fillId="0" borderId="47" xfId="58" applyNumberFormat="1" applyFont="1" applyFill="1" applyBorder="1">
      <alignment/>
      <protection/>
    </xf>
    <xf numFmtId="44" fontId="5" fillId="0" borderId="47" xfId="58" applyNumberFormat="1" applyFont="1" applyFill="1" applyBorder="1">
      <alignment/>
      <protection/>
    </xf>
    <xf numFmtId="44" fontId="5" fillId="0" borderId="48" xfId="58" applyNumberFormat="1" applyFont="1" applyFill="1" applyBorder="1">
      <alignment/>
      <protection/>
    </xf>
    <xf numFmtId="0" fontId="5" fillId="0" borderId="49" xfId="58" applyFont="1" applyBorder="1">
      <alignment/>
      <protection/>
    </xf>
    <xf numFmtId="202" fontId="5" fillId="0" borderId="49" xfId="58" applyNumberFormat="1" applyFont="1" applyFill="1" applyBorder="1">
      <alignment/>
      <protection/>
    </xf>
    <xf numFmtId="44" fontId="5" fillId="0" borderId="49" xfId="58" applyNumberFormat="1" applyFont="1" applyFill="1" applyBorder="1">
      <alignment/>
      <protection/>
    </xf>
    <xf numFmtId="44" fontId="5" fillId="0" borderId="50" xfId="58" applyNumberFormat="1" applyFont="1" applyFill="1" applyBorder="1">
      <alignment/>
      <protection/>
    </xf>
    <xf numFmtId="0" fontId="5" fillId="0" borderId="51" xfId="58" applyFont="1" applyFill="1" applyBorder="1" applyAlignment="1">
      <alignment horizontal="center"/>
      <protection/>
    </xf>
    <xf numFmtId="0" fontId="5" fillId="5" borderId="45" xfId="58" applyFont="1" applyFill="1" applyBorder="1" applyAlignment="1">
      <alignment horizontal="center"/>
      <protection/>
    </xf>
    <xf numFmtId="0" fontId="5" fillId="0" borderId="45" xfId="58" applyFont="1" applyFill="1" applyBorder="1" applyAlignment="1">
      <alignment horizontal="left"/>
      <protection/>
    </xf>
    <xf numFmtId="0" fontId="5" fillId="0" borderId="45" xfId="58" applyFont="1" applyBorder="1">
      <alignment/>
      <protection/>
    </xf>
    <xf numFmtId="181" fontId="25" fillId="0" borderId="45" xfId="95" applyNumberFormat="1" applyFont="1" applyFill="1" applyBorder="1" applyProtection="1">
      <alignment horizontal="right" vertical="center"/>
      <protection locked="0"/>
    </xf>
    <xf numFmtId="181" fontId="25" fillId="0" borderId="45" xfId="62" applyNumberFormat="1" applyFont="1" applyFill="1" applyBorder="1" applyAlignment="1" applyProtection="1">
      <alignment horizontal="center" vertical="center"/>
      <protection locked="0"/>
    </xf>
    <xf numFmtId="0" fontId="26" fillId="0" borderId="45" xfId="58" applyFont="1" applyFill="1" applyBorder="1">
      <alignment/>
      <protection/>
    </xf>
    <xf numFmtId="165" fontId="5" fillId="0" borderId="45" xfId="42" applyNumberFormat="1" applyFont="1" applyFill="1" applyBorder="1" applyAlignment="1">
      <alignment/>
    </xf>
    <xf numFmtId="44" fontId="5" fillId="0" borderId="45" xfId="44" applyFont="1" applyFill="1" applyBorder="1" applyAlignment="1">
      <alignment/>
    </xf>
    <xf numFmtId="9" fontId="5" fillId="0" borderId="45" xfId="61" applyFont="1" applyFill="1" applyBorder="1" applyAlignment="1">
      <alignment/>
    </xf>
    <xf numFmtId="0" fontId="5" fillId="0" borderId="52" xfId="58" applyFont="1" applyFill="1" applyBorder="1" applyAlignment="1">
      <alignment horizontal="center"/>
      <protection/>
    </xf>
    <xf numFmtId="0" fontId="5" fillId="5" borderId="47" xfId="58" applyFont="1" applyFill="1" applyBorder="1" applyAlignment="1">
      <alignment horizontal="center"/>
      <protection/>
    </xf>
    <xf numFmtId="0" fontId="5" fillId="0" borderId="47" xfId="58" applyFont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181" fontId="25" fillId="0" borderId="47" xfId="95" applyNumberFormat="1" applyFont="1" applyFill="1" applyBorder="1" applyProtection="1">
      <alignment horizontal="right" vertical="center"/>
      <protection locked="0"/>
    </xf>
    <xf numFmtId="180" fontId="25" fillId="0" borderId="47" xfId="95" applyNumberFormat="1" applyFont="1" applyFill="1" applyBorder="1" applyProtection="1">
      <alignment horizontal="right" vertical="center"/>
      <protection locked="0"/>
    </xf>
    <xf numFmtId="181" fontId="25" fillId="0" borderId="47" xfId="62" applyNumberFormat="1" applyFont="1" applyFill="1" applyBorder="1" applyAlignment="1" applyProtection="1">
      <alignment horizontal="center" vertical="center"/>
      <protection locked="0"/>
    </xf>
    <xf numFmtId="180" fontId="25" fillId="0" borderId="47" xfId="62" applyNumberFormat="1" applyFont="1" applyFill="1" applyBorder="1" applyProtection="1">
      <alignment vertical="center"/>
      <protection locked="0"/>
    </xf>
    <xf numFmtId="0" fontId="5" fillId="0" borderId="47" xfId="58" applyFont="1" applyFill="1" applyBorder="1">
      <alignment/>
      <protection/>
    </xf>
    <xf numFmtId="9" fontId="5" fillId="0" borderId="47" xfId="61" applyFont="1" applyFill="1" applyBorder="1" applyAlignment="1">
      <alignment horizontal="center"/>
    </xf>
    <xf numFmtId="0" fontId="5" fillId="0" borderId="52" xfId="58" applyFont="1" applyBorder="1" applyAlignment="1">
      <alignment horizontal="center"/>
      <protection/>
    </xf>
    <xf numFmtId="9" fontId="5" fillId="0" borderId="47" xfId="61" applyFont="1" applyBorder="1" applyAlignment="1">
      <alignment horizontal="center"/>
    </xf>
    <xf numFmtId="0" fontId="5" fillId="0" borderId="52" xfId="97" applyFont="1" applyFill="1" applyBorder="1" applyAlignment="1" applyProtection="1" quotePrefix="1">
      <alignment horizontal="center" vertical="center"/>
      <protection locked="0"/>
    </xf>
    <xf numFmtId="0" fontId="5" fillId="0" borderId="47" xfId="97" applyFont="1" applyFill="1" applyBorder="1" applyAlignment="1" applyProtection="1" quotePrefix="1">
      <alignment horizontal="left" vertical="center"/>
      <protection locked="0"/>
    </xf>
    <xf numFmtId="0" fontId="5" fillId="0" borderId="47" xfId="97" applyFont="1" applyFill="1" applyBorder="1" applyAlignment="1" applyProtection="1" quotePrefix="1">
      <alignment horizontal="center" vertical="center"/>
      <protection locked="0"/>
    </xf>
    <xf numFmtId="202" fontId="5" fillId="0" borderId="48" xfId="58" applyNumberFormat="1" applyFont="1" applyFill="1" applyBorder="1">
      <alignment/>
      <protection/>
    </xf>
    <xf numFmtId="14" fontId="5" fillId="0" borderId="47" xfId="58" applyNumberFormat="1" applyFont="1" applyBorder="1">
      <alignment/>
      <protection/>
    </xf>
    <xf numFmtId="0" fontId="5" fillId="0" borderId="47" xfId="97" applyFont="1" applyFill="1" applyBorder="1" applyProtection="1" quotePrefix="1">
      <alignment horizontal="left" vertical="center" indent="1"/>
      <protection locked="0"/>
    </xf>
    <xf numFmtId="0" fontId="5" fillId="0" borderId="53" xfId="97" applyFont="1" applyFill="1" applyBorder="1" applyAlignment="1" applyProtection="1" quotePrefix="1">
      <alignment horizontal="center" vertical="center"/>
      <protection locked="0"/>
    </xf>
    <xf numFmtId="0" fontId="5" fillId="5" borderId="49" xfId="58" applyFont="1" applyFill="1" applyBorder="1" applyAlignment="1">
      <alignment horizontal="center"/>
      <protection/>
    </xf>
    <xf numFmtId="0" fontId="5" fillId="0" borderId="49" xfId="97" applyFont="1" applyFill="1" applyBorder="1" applyAlignment="1" applyProtection="1" quotePrefix="1">
      <alignment horizontal="left" vertical="center"/>
      <protection locked="0"/>
    </xf>
    <xf numFmtId="0" fontId="5" fillId="0" borderId="49" xfId="97" applyFont="1" applyFill="1" applyBorder="1" applyProtection="1" quotePrefix="1">
      <alignment horizontal="left" vertical="center" indent="1"/>
      <protection locked="0"/>
    </xf>
    <xf numFmtId="0" fontId="5" fillId="0" borderId="49" xfId="97" applyFont="1" applyFill="1" applyBorder="1" applyAlignment="1" applyProtection="1" quotePrefix="1">
      <alignment horizontal="center" vertical="center"/>
      <protection locked="0"/>
    </xf>
    <xf numFmtId="181" fontId="25" fillId="0" borderId="49" xfId="95" applyNumberFormat="1" applyFont="1" applyFill="1" applyBorder="1" applyProtection="1">
      <alignment horizontal="right" vertical="center"/>
      <protection locked="0"/>
    </xf>
    <xf numFmtId="180" fontId="25" fillId="0" borderId="49" xfId="95" applyNumberFormat="1" applyFont="1" applyFill="1" applyBorder="1" applyProtection="1">
      <alignment horizontal="right" vertical="center"/>
      <protection locked="0"/>
    </xf>
    <xf numFmtId="181" fontId="25" fillId="0" borderId="49" xfId="62" applyNumberFormat="1" applyFont="1" applyFill="1" applyBorder="1" applyAlignment="1" applyProtection="1">
      <alignment horizontal="center" vertical="center"/>
      <protection locked="0"/>
    </xf>
    <xf numFmtId="180" fontId="25" fillId="0" borderId="49" xfId="62" applyNumberFormat="1" applyFont="1" applyFill="1" applyBorder="1" applyProtection="1">
      <alignment vertical="center"/>
      <protection locked="0"/>
    </xf>
    <xf numFmtId="0" fontId="5" fillId="0" borderId="54" xfId="97" applyFont="1" applyFill="1" applyBorder="1" applyAlignment="1" applyProtection="1" quotePrefix="1">
      <alignment horizontal="center" vertical="center"/>
      <protection locked="0"/>
    </xf>
    <xf numFmtId="0" fontId="5" fillId="5" borderId="55" xfId="97" applyFont="1" applyFill="1" applyBorder="1" applyAlignment="1" applyProtection="1" quotePrefix="1">
      <alignment horizontal="center" vertical="center"/>
      <protection locked="0"/>
    </xf>
    <xf numFmtId="11" fontId="5" fillId="0" borderId="55" xfId="97" applyNumberFormat="1" applyFont="1" applyFill="1" applyBorder="1" applyProtection="1" quotePrefix="1">
      <alignment horizontal="left" vertical="center" indent="1"/>
      <protection locked="0"/>
    </xf>
    <xf numFmtId="0" fontId="5" fillId="0" borderId="55" xfId="97" applyFont="1" applyFill="1" applyBorder="1" applyProtection="1" quotePrefix="1">
      <alignment horizontal="left" vertical="center" indent="1"/>
      <protection locked="0"/>
    </xf>
    <xf numFmtId="0" fontId="5" fillId="0" borderId="55" xfId="97" applyFont="1" applyFill="1" applyBorder="1" applyProtection="1">
      <alignment horizontal="left" vertical="center" indent="1"/>
      <protection locked="0"/>
    </xf>
    <xf numFmtId="0" fontId="5" fillId="0" borderId="55" xfId="97" applyFont="1" applyFill="1" applyBorder="1" applyAlignment="1" applyProtection="1">
      <alignment horizontal="center" vertical="center"/>
      <protection locked="0"/>
    </xf>
    <xf numFmtId="0" fontId="5" fillId="0" borderId="55" xfId="97" applyFont="1" applyFill="1" applyBorder="1" applyAlignment="1" applyProtection="1" quotePrefix="1">
      <alignment horizontal="center" vertical="center"/>
      <protection locked="0"/>
    </xf>
    <xf numFmtId="3" fontId="25" fillId="0" borderId="55" xfId="95" applyNumberFormat="1" applyFont="1" applyFill="1" applyBorder="1" applyProtection="1">
      <alignment horizontal="right" vertical="center"/>
      <protection locked="0"/>
    </xf>
    <xf numFmtId="179" fontId="25" fillId="0" borderId="55" xfId="95" applyNumberFormat="1" applyFont="1" applyFill="1" applyBorder="1" applyProtection="1">
      <alignment horizontal="right" vertical="center"/>
      <protection locked="0"/>
    </xf>
    <xf numFmtId="180" fontId="25" fillId="0" borderId="55" xfId="95" applyNumberFormat="1" applyFont="1" applyFill="1" applyBorder="1" applyProtection="1">
      <alignment horizontal="right" vertical="center"/>
      <protection locked="0"/>
    </xf>
    <xf numFmtId="179" fontId="25" fillId="0" borderId="55" xfId="62" applyNumberFormat="1" applyFont="1" applyFill="1" applyBorder="1" applyProtection="1">
      <alignment vertical="center"/>
      <protection locked="0"/>
    </xf>
    <xf numFmtId="180" fontId="25" fillId="0" borderId="55" xfId="62" applyNumberFormat="1" applyFont="1" applyFill="1" applyBorder="1" applyProtection="1">
      <alignment vertical="center"/>
      <protection locked="0"/>
    </xf>
    <xf numFmtId="0" fontId="5" fillId="0" borderId="55" xfId="58" applyFont="1" applyFill="1" applyBorder="1" applyAlignment="1">
      <alignment horizontal="center"/>
      <protection/>
    </xf>
    <xf numFmtId="0" fontId="5" fillId="30" borderId="55" xfId="58" applyFont="1" applyFill="1" applyBorder="1">
      <alignment/>
      <protection/>
    </xf>
    <xf numFmtId="0" fontId="5" fillId="0" borderId="55" xfId="58" applyFont="1" applyFill="1" applyBorder="1">
      <alignment/>
      <protection/>
    </xf>
    <xf numFmtId="0" fontId="5" fillId="23" borderId="55" xfId="58" applyFont="1" applyFill="1" applyBorder="1">
      <alignment/>
      <protection/>
    </xf>
    <xf numFmtId="0" fontId="5" fillId="4" borderId="55" xfId="58" applyFont="1" applyFill="1" applyBorder="1">
      <alignment/>
      <protection/>
    </xf>
    <xf numFmtId="0" fontId="5" fillId="7" borderId="55" xfId="58" applyFont="1" applyFill="1" applyBorder="1">
      <alignment/>
      <protection/>
    </xf>
    <xf numFmtId="202" fontId="5" fillId="0" borderId="55" xfId="58" applyNumberFormat="1" applyFont="1" applyFill="1" applyBorder="1">
      <alignment/>
      <protection/>
    </xf>
    <xf numFmtId="44" fontId="5" fillId="0" borderId="55" xfId="58" applyNumberFormat="1" applyFont="1" applyFill="1" applyBorder="1">
      <alignment/>
      <protection/>
    </xf>
    <xf numFmtId="44" fontId="5" fillId="0" borderId="56" xfId="58" applyNumberFormat="1" applyFont="1" applyFill="1" applyBorder="1">
      <alignment/>
      <protection/>
    </xf>
    <xf numFmtId="0" fontId="5" fillId="0" borderId="57" xfId="97" applyFont="1" applyFill="1" applyBorder="1" applyAlignment="1" applyProtection="1" quotePrefix="1">
      <alignment horizontal="center" vertical="center"/>
      <protection locked="0"/>
    </xf>
    <xf numFmtId="0" fontId="5" fillId="5" borderId="58" xfId="97" applyFont="1" applyFill="1" applyBorder="1" applyAlignment="1" applyProtection="1" quotePrefix="1">
      <alignment horizontal="center" vertical="center"/>
      <protection locked="0"/>
    </xf>
    <xf numFmtId="11" fontId="5" fillId="0" borderId="58" xfId="97" applyNumberFormat="1" applyFont="1" applyFill="1" applyBorder="1" applyProtection="1" quotePrefix="1">
      <alignment horizontal="left" vertical="center" indent="1"/>
      <protection locked="0"/>
    </xf>
    <xf numFmtId="0" fontId="5" fillId="0" borderId="58" xfId="58" applyFont="1" applyBorder="1">
      <alignment/>
      <protection/>
    </xf>
    <xf numFmtId="0" fontId="5" fillId="0" borderId="58" xfId="97" applyFont="1" applyFill="1" applyBorder="1" applyProtection="1">
      <alignment horizontal="left" vertical="center" indent="1"/>
      <protection locked="0"/>
    </xf>
    <xf numFmtId="0" fontId="5" fillId="0" borderId="58" xfId="58" applyFont="1" applyBorder="1" applyAlignment="1">
      <alignment horizontal="center"/>
      <protection/>
    </xf>
    <xf numFmtId="0" fontId="5" fillId="0" borderId="58" xfId="58" applyFont="1" applyFill="1" applyBorder="1" applyAlignment="1">
      <alignment horizontal="center"/>
      <protection/>
    </xf>
    <xf numFmtId="202" fontId="5" fillId="0" borderId="58" xfId="58" applyNumberFormat="1" applyFont="1" applyFill="1" applyBorder="1">
      <alignment/>
      <protection/>
    </xf>
    <xf numFmtId="44" fontId="5" fillId="0" borderId="58" xfId="58" applyNumberFormat="1" applyFont="1" applyFill="1" applyBorder="1">
      <alignment/>
      <protection/>
    </xf>
    <xf numFmtId="44" fontId="5" fillId="0" borderId="59" xfId="58" applyNumberFormat="1" applyFont="1" applyFill="1" applyBorder="1">
      <alignment/>
      <protection/>
    </xf>
    <xf numFmtId="0" fontId="5" fillId="0" borderId="60" xfId="97" applyFont="1" applyFill="1" applyBorder="1" applyAlignment="1" applyProtection="1" quotePrefix="1">
      <alignment horizontal="center" vertical="center"/>
      <protection locked="0"/>
    </xf>
    <xf numFmtId="0" fontId="5" fillId="5" borderId="61" xfId="97" applyFont="1" applyFill="1" applyBorder="1" applyAlignment="1" applyProtection="1" quotePrefix="1">
      <alignment horizontal="center" vertical="center"/>
      <protection locked="0"/>
    </xf>
    <xf numFmtId="11" fontId="5" fillId="0" borderId="61" xfId="97" applyNumberFormat="1" applyFont="1" applyFill="1" applyBorder="1" applyProtection="1" quotePrefix="1">
      <alignment horizontal="left" vertical="center" indent="1"/>
      <protection locked="0"/>
    </xf>
    <xf numFmtId="0" fontId="5" fillId="0" borderId="61" xfId="58" applyFont="1" applyBorder="1">
      <alignment/>
      <protection/>
    </xf>
    <xf numFmtId="0" fontId="5" fillId="0" borderId="61" xfId="58" applyFont="1" applyBorder="1" applyAlignment="1">
      <alignment horizontal="center"/>
      <protection/>
    </xf>
    <xf numFmtId="9" fontId="5" fillId="0" borderId="61" xfId="61" applyFont="1" applyBorder="1" applyAlignment="1">
      <alignment horizontal="center"/>
    </xf>
    <xf numFmtId="202" fontId="5" fillId="0" borderId="61" xfId="58" applyNumberFormat="1" applyFont="1" applyFill="1" applyBorder="1">
      <alignment/>
      <protection/>
    </xf>
    <xf numFmtId="44" fontId="5" fillId="0" borderId="61" xfId="58" applyNumberFormat="1" applyFont="1" applyFill="1" applyBorder="1">
      <alignment/>
      <protection/>
    </xf>
    <xf numFmtId="44" fontId="5" fillId="0" borderId="62" xfId="58" applyNumberFormat="1" applyFont="1" applyFill="1" applyBorder="1">
      <alignment/>
      <protection/>
    </xf>
    <xf numFmtId="0" fontId="24" fillId="0" borderId="44" xfId="67" applyFont="1" applyFill="1" applyBorder="1" applyAlignment="1" applyProtection="1">
      <alignment horizontal="center" vertical="center"/>
      <protection locked="0"/>
    </xf>
    <xf numFmtId="0" fontId="24" fillId="0" borderId="44" xfId="67" applyFont="1" applyFill="1" applyBorder="1" applyAlignment="1" applyProtection="1">
      <alignment vertical="center"/>
      <protection locked="0"/>
    </xf>
    <xf numFmtId="0" fontId="24" fillId="0" borderId="44" xfId="98" applyFont="1" applyFill="1" applyBorder="1" applyAlignment="1" applyProtection="1">
      <alignment horizontal="center" vertical="center"/>
      <protection locked="0"/>
    </xf>
    <xf numFmtId="0" fontId="24" fillId="0" borderId="44" xfId="98" applyFont="1" applyFill="1" applyBorder="1" applyAlignment="1" applyProtection="1">
      <alignment horizontal="center" vertical="center" wrapText="1"/>
      <protection locked="0"/>
    </xf>
    <xf numFmtId="0" fontId="22" fillId="0" borderId="44" xfId="65" applyNumberFormat="1" applyFont="1" applyFill="1" applyBorder="1" applyAlignment="1" applyProtection="1">
      <alignment horizontal="center" vertical="center" wrapText="1"/>
      <protection locked="0"/>
    </xf>
    <xf numFmtId="0" fontId="22" fillId="0" borderId="44" xfId="65" applyNumberFormat="1" applyFont="1" applyFill="1" applyBorder="1" applyAlignment="1" applyProtection="1" quotePrefix="1">
      <alignment horizontal="center" vertical="center"/>
      <protection locked="0"/>
    </xf>
    <xf numFmtId="0" fontId="22" fillId="30" borderId="44" xfId="65" applyNumberFormat="1" applyFont="1" applyFill="1" applyBorder="1" applyAlignment="1" applyProtection="1">
      <alignment horizontal="center" vertical="center" wrapText="1"/>
      <protection locked="0"/>
    </xf>
    <xf numFmtId="0" fontId="22" fillId="23" borderId="44" xfId="65" applyNumberFormat="1" applyFont="1" applyFill="1" applyBorder="1" applyAlignment="1" applyProtection="1">
      <alignment horizontal="center" vertical="center" wrapText="1"/>
      <protection locked="0"/>
    </xf>
    <xf numFmtId="0" fontId="22" fillId="4" borderId="44" xfId="65" applyNumberFormat="1" applyFont="1" applyFill="1" applyBorder="1" applyAlignment="1" applyProtection="1">
      <alignment horizontal="center" vertical="center" wrapText="1"/>
      <protection locked="0"/>
    </xf>
    <xf numFmtId="0" fontId="22" fillId="7" borderId="44" xfId="65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65" applyNumberFormat="1" applyFont="1" applyFill="1" applyBorder="1" applyAlignment="1" applyProtection="1">
      <alignment horizontal="center" vertical="center" wrapText="1"/>
      <protection locked="0"/>
    </xf>
    <xf numFmtId="0" fontId="5" fillId="5" borderId="55" xfId="58" applyFont="1" applyFill="1" applyBorder="1" applyAlignment="1">
      <alignment horizontal="center"/>
      <protection/>
    </xf>
    <xf numFmtId="44" fontId="5" fillId="0" borderId="63" xfId="58" applyNumberFormat="1" applyFont="1" applyFill="1" applyBorder="1">
      <alignment/>
      <protection/>
    </xf>
    <xf numFmtId="0" fontId="5" fillId="5" borderId="58" xfId="58" applyFont="1" applyFill="1" applyBorder="1" applyAlignment="1">
      <alignment horizontal="center"/>
      <protection/>
    </xf>
    <xf numFmtId="0" fontId="5" fillId="0" borderId="58" xfId="97" applyFont="1" applyFill="1" applyBorder="1" applyProtection="1" quotePrefix="1">
      <alignment horizontal="left" vertical="center" indent="1"/>
      <protection locked="0"/>
    </xf>
    <xf numFmtId="0" fontId="5" fillId="0" borderId="58" xfId="97" applyFont="1" applyFill="1" applyBorder="1" applyAlignment="1" applyProtection="1" quotePrefix="1">
      <alignment horizontal="center" vertical="center"/>
      <protection locked="0"/>
    </xf>
    <xf numFmtId="179" fontId="25" fillId="0" borderId="58" xfId="95" applyNumberFormat="1" applyFont="1" applyFill="1" applyBorder="1" applyProtection="1">
      <alignment horizontal="right" vertical="center"/>
      <protection locked="0"/>
    </xf>
    <xf numFmtId="180" fontId="25" fillId="0" borderId="58" xfId="95" applyNumberFormat="1" applyFont="1" applyFill="1" applyBorder="1" applyProtection="1">
      <alignment horizontal="right" vertical="center"/>
      <protection locked="0"/>
    </xf>
    <xf numFmtId="3" fontId="25" fillId="0" borderId="58" xfId="95" applyNumberFormat="1" applyFont="1" applyFill="1" applyBorder="1" applyProtection="1">
      <alignment horizontal="right" vertical="center"/>
      <protection locked="0"/>
    </xf>
    <xf numFmtId="179" fontId="25" fillId="0" borderId="58" xfId="62" applyNumberFormat="1" applyFont="1" applyFill="1" applyBorder="1" applyProtection="1">
      <alignment vertical="center"/>
      <protection locked="0"/>
    </xf>
    <xf numFmtId="180" fontId="25" fillId="0" borderId="58" xfId="62" applyNumberFormat="1" applyFont="1" applyFill="1" applyBorder="1" applyProtection="1">
      <alignment vertical="center"/>
      <protection locked="0"/>
    </xf>
    <xf numFmtId="0" fontId="5" fillId="30" borderId="58" xfId="58" applyFont="1" applyFill="1" applyBorder="1">
      <alignment/>
      <protection/>
    </xf>
    <xf numFmtId="0" fontId="5" fillId="0" borderId="58" xfId="58" applyFont="1" applyFill="1" applyBorder="1">
      <alignment/>
      <protection/>
    </xf>
    <xf numFmtId="0" fontId="5" fillId="23" borderId="58" xfId="58" applyFont="1" applyFill="1" applyBorder="1">
      <alignment/>
      <protection/>
    </xf>
    <xf numFmtId="0" fontId="5" fillId="4" borderId="58" xfId="58" applyFont="1" applyFill="1" applyBorder="1">
      <alignment/>
      <protection/>
    </xf>
    <xf numFmtId="0" fontId="5" fillId="7" borderId="58" xfId="58" applyFont="1" applyFill="1" applyBorder="1">
      <alignment/>
      <protection/>
    </xf>
    <xf numFmtId="44" fontId="5" fillId="0" borderId="64" xfId="58" applyNumberFormat="1" applyFont="1" applyFill="1" applyBorder="1">
      <alignment/>
      <protection/>
    </xf>
    <xf numFmtId="0" fontId="5" fillId="0" borderId="58" xfId="97" applyFont="1" applyFill="1" applyBorder="1" applyAlignment="1" applyProtection="1" quotePrefix="1">
      <alignment horizontal="right" vertical="center"/>
      <protection locked="0"/>
    </xf>
    <xf numFmtId="0" fontId="5" fillId="0" borderId="58" xfId="97" applyFont="1" applyFill="1" applyBorder="1" applyAlignment="1" applyProtection="1" quotePrefix="1">
      <alignment vertical="center"/>
      <protection locked="0"/>
    </xf>
    <xf numFmtId="0" fontId="5" fillId="0" borderId="58" xfId="61" applyNumberFormat="1" applyFont="1" applyFill="1" applyBorder="1" applyAlignment="1">
      <alignment horizontal="center"/>
    </xf>
    <xf numFmtId="190" fontId="25" fillId="0" borderId="58" xfId="95" applyNumberFormat="1" applyFont="1" applyFill="1" applyBorder="1" applyProtection="1">
      <alignment horizontal="right" vertical="center"/>
      <protection locked="0"/>
    </xf>
    <xf numFmtId="190" fontId="25" fillId="0" borderId="58" xfId="62" applyNumberFormat="1" applyFont="1" applyFill="1" applyBorder="1" applyProtection="1">
      <alignment vertical="center"/>
      <protection locked="0"/>
    </xf>
    <xf numFmtId="183" fontId="25" fillId="0" borderId="58" xfId="95" applyNumberFormat="1" applyFont="1" applyFill="1" applyBorder="1" applyProtection="1">
      <alignment horizontal="right" vertical="center"/>
      <protection locked="0"/>
    </xf>
    <xf numFmtId="183" fontId="25" fillId="0" borderId="58" xfId="62" applyNumberFormat="1" applyFont="1" applyFill="1" applyBorder="1" applyProtection="1">
      <alignment vertical="center"/>
      <protection locked="0"/>
    </xf>
    <xf numFmtId="0" fontId="5" fillId="0" borderId="61" xfId="97" applyFont="1" applyFill="1" applyBorder="1" applyProtection="1" quotePrefix="1">
      <alignment horizontal="left" vertical="center" indent="1"/>
      <protection locked="0"/>
    </xf>
    <xf numFmtId="0" fontId="5" fillId="0" borderId="61" xfId="97" applyFont="1" applyFill="1" applyBorder="1" applyProtection="1">
      <alignment horizontal="left" vertical="center" indent="1"/>
      <protection locked="0"/>
    </xf>
    <xf numFmtId="0" fontId="5" fillId="0" borderId="61" xfId="97" applyFont="1" applyFill="1" applyBorder="1" applyAlignment="1" applyProtection="1" quotePrefix="1">
      <alignment horizontal="center" vertical="center"/>
      <protection locked="0"/>
    </xf>
    <xf numFmtId="3" fontId="25" fillId="0" borderId="61" xfId="95" applyNumberFormat="1" applyFont="1" applyFill="1" applyBorder="1" applyProtection="1">
      <alignment horizontal="right" vertical="center"/>
      <protection locked="0"/>
    </xf>
    <xf numFmtId="179" fontId="25" fillId="0" borderId="61" xfId="95" applyNumberFormat="1" applyFont="1" applyFill="1" applyBorder="1" applyProtection="1">
      <alignment horizontal="right" vertical="center"/>
      <protection locked="0"/>
    </xf>
    <xf numFmtId="180" fontId="25" fillId="0" borderId="61" xfId="95" applyNumberFormat="1" applyFont="1" applyFill="1" applyBorder="1" applyProtection="1">
      <alignment horizontal="right" vertical="center"/>
      <protection locked="0"/>
    </xf>
    <xf numFmtId="179" fontId="25" fillId="0" borderId="61" xfId="62" applyNumberFormat="1" applyFont="1" applyFill="1" applyBorder="1" applyProtection="1">
      <alignment vertical="center"/>
      <protection locked="0"/>
    </xf>
    <xf numFmtId="180" fontId="25" fillId="0" borderId="61" xfId="62" applyNumberFormat="1" applyFont="1" applyFill="1" applyBorder="1" applyProtection="1">
      <alignment vertical="center"/>
      <protection locked="0"/>
    </xf>
    <xf numFmtId="0" fontId="5" fillId="0" borderId="61" xfId="58" applyFont="1" applyFill="1" applyBorder="1" applyAlignment="1">
      <alignment horizontal="center"/>
      <protection/>
    </xf>
    <xf numFmtId="0" fontId="5" fillId="30" borderId="61" xfId="58" applyFont="1" applyFill="1" applyBorder="1">
      <alignment/>
      <protection/>
    </xf>
    <xf numFmtId="0" fontId="5" fillId="0" borderId="61" xfId="58" applyFont="1" applyFill="1" applyBorder="1">
      <alignment/>
      <protection/>
    </xf>
    <xf numFmtId="0" fontId="5" fillId="23" borderId="61" xfId="58" applyFont="1" applyFill="1" applyBorder="1">
      <alignment/>
      <protection/>
    </xf>
    <xf numFmtId="0" fontId="5" fillId="4" borderId="61" xfId="58" applyFont="1" applyFill="1" applyBorder="1">
      <alignment/>
      <protection/>
    </xf>
    <xf numFmtId="0" fontId="5" fillId="7" borderId="61" xfId="58" applyFont="1" applyFill="1" applyBorder="1">
      <alignment/>
      <protection/>
    </xf>
    <xf numFmtId="44" fontId="5" fillId="0" borderId="65" xfId="58" applyNumberFormat="1" applyFont="1" applyFill="1" applyBorder="1">
      <alignment/>
      <protection/>
    </xf>
    <xf numFmtId="41" fontId="16" fillId="20" borderId="34" xfId="95" applyNumberFormat="1" applyFont="1" applyFill="1" applyBorder="1" applyProtection="1">
      <alignment horizontal="right" vertical="center"/>
      <protection locked="0"/>
    </xf>
    <xf numFmtId="41" fontId="16" fillId="20" borderId="66" xfId="95" applyNumberFormat="1" applyFont="1" applyFill="1" applyBorder="1" applyProtection="1">
      <alignment horizontal="right" vertical="center"/>
      <protection locked="0"/>
    </xf>
    <xf numFmtId="41" fontId="23" fillId="0" borderId="0" xfId="0" applyNumberFormat="1" applyFont="1" applyFill="1" applyAlignment="1">
      <alignment/>
    </xf>
    <xf numFmtId="41" fontId="23" fillId="0" borderId="1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1" fontId="23" fillId="0" borderId="67" xfId="0" applyNumberFormat="1" applyFont="1" applyFill="1" applyBorder="1" applyAlignment="1">
      <alignment/>
    </xf>
    <xf numFmtId="0" fontId="5" fillId="0" borderId="11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/>
      <protection/>
    </xf>
    <xf numFmtId="0" fontId="5" fillId="0" borderId="11" xfId="58" applyFont="1" applyFill="1" applyBorder="1">
      <alignment/>
      <protection/>
    </xf>
    <xf numFmtId="9" fontId="5" fillId="0" borderId="11" xfId="61" applyFont="1" applyFill="1" applyBorder="1" applyAlignment="1">
      <alignment horizontal="center"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9" fontId="5" fillId="0" borderId="0" xfId="61" applyFont="1" applyFill="1" applyBorder="1" applyAlignment="1">
      <alignment horizontal="center"/>
    </xf>
    <xf numFmtId="0" fontId="5" fillId="0" borderId="67" xfId="58" applyFont="1" applyFill="1" applyBorder="1" applyAlignment="1">
      <alignment horizontal="center"/>
      <protection/>
    </xf>
    <xf numFmtId="0" fontId="5" fillId="0" borderId="67" xfId="58" applyFont="1" applyFill="1" applyBorder="1" applyAlignment="1">
      <alignment/>
      <protection/>
    </xf>
    <xf numFmtId="0" fontId="5" fillId="0" borderId="67" xfId="58" applyFont="1" applyFill="1" applyBorder="1">
      <alignment/>
      <protection/>
    </xf>
    <xf numFmtId="9" fontId="5" fillId="0" borderId="67" xfId="61" applyFont="1" applyFill="1" applyBorder="1" applyAlignment="1">
      <alignment horizontal="center"/>
    </xf>
    <xf numFmtId="0" fontId="28" fillId="0" borderId="11" xfId="97" applyFont="1" applyFill="1" applyBorder="1" applyAlignment="1" applyProtection="1">
      <alignment horizontal="left" vertical="center"/>
      <protection locked="0"/>
    </xf>
    <xf numFmtId="0" fontId="28" fillId="0" borderId="0" xfId="97" applyFont="1" applyFill="1" applyBorder="1" applyAlignment="1" applyProtection="1">
      <alignment horizontal="left" vertical="center"/>
      <protection locked="0"/>
    </xf>
    <xf numFmtId="0" fontId="9" fillId="0" borderId="0" xfId="58" applyFont="1" applyFill="1" applyBorder="1" applyAlignment="1">
      <alignment horizontal="left"/>
      <protection/>
    </xf>
    <xf numFmtId="0" fontId="28" fillId="0" borderId="67" xfId="97" applyFont="1" applyFill="1" applyBorder="1" applyAlignment="1" applyProtection="1">
      <alignment horizontal="left" vertical="center"/>
      <protection locked="0"/>
    </xf>
    <xf numFmtId="202" fontId="28" fillId="0" borderId="11" xfId="58" applyNumberFormat="1" applyFont="1" applyFill="1" applyBorder="1">
      <alignment/>
      <protection/>
    </xf>
    <xf numFmtId="202" fontId="28" fillId="0" borderId="0" xfId="58" applyNumberFormat="1" applyFont="1" applyFill="1" applyBorder="1">
      <alignment/>
      <protection/>
    </xf>
    <xf numFmtId="202" fontId="28" fillId="0" borderId="67" xfId="58" applyNumberFormat="1" applyFont="1" applyFill="1" applyBorder="1">
      <alignment/>
      <protection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20" xfId="44" applyNumberFormat="1" applyFont="1" applyBorder="1" applyAlignment="1">
      <alignment/>
    </xf>
    <xf numFmtId="164" fontId="1" fillId="0" borderId="0" xfId="44" applyNumberFormat="1" applyFont="1" applyAlignment="1">
      <alignment/>
    </xf>
    <xf numFmtId="0" fontId="1" fillId="0" borderId="0" xfId="0" applyNumberFormat="1" applyFont="1" applyAlignment="1" quotePrefix="1">
      <alignment/>
    </xf>
    <xf numFmtId="164" fontId="1" fillId="0" borderId="68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44" applyNumberFormat="1" applyFont="1" applyFill="1" applyBorder="1" applyAlignment="1">
      <alignment/>
    </xf>
    <xf numFmtId="164" fontId="1" fillId="0" borderId="0" xfId="44" applyNumberFormat="1" applyFont="1" applyFill="1" applyAlignment="1" applyProtection="1">
      <alignment horizontal="right"/>
      <protection locked="0"/>
    </xf>
    <xf numFmtId="164" fontId="1" fillId="0" borderId="0" xfId="44" applyNumberFormat="1" applyFont="1" applyFill="1" applyAlignment="1">
      <alignment/>
    </xf>
    <xf numFmtId="164" fontId="1" fillId="0" borderId="10" xfId="44" applyNumberFormat="1" applyFont="1" applyFill="1" applyBorder="1" applyAlignment="1">
      <alignment/>
    </xf>
    <xf numFmtId="164" fontId="1" fillId="0" borderId="10" xfId="44" applyNumberFormat="1" applyFont="1" applyFill="1" applyBorder="1" applyAlignment="1" applyProtection="1">
      <alignment horizontal="right"/>
      <protection locked="0"/>
    </xf>
    <xf numFmtId="164" fontId="1" fillId="0" borderId="0" xfId="44" applyNumberFormat="1" applyFont="1" applyFill="1" applyAlignment="1">
      <alignment horizontal="right"/>
    </xf>
    <xf numFmtId="164" fontId="1" fillId="0" borderId="0" xfId="44" applyNumberFormat="1" applyFont="1" applyFill="1" applyAlignment="1">
      <alignment horizontal="left"/>
    </xf>
    <xf numFmtId="164" fontId="1" fillId="0" borderId="10" xfId="44" applyNumberFormat="1" applyFont="1" applyFill="1" applyBorder="1" applyAlignment="1">
      <alignment horizontal="centerContinuous" vertical="center" wrapText="1"/>
    </xf>
    <xf numFmtId="164" fontId="1" fillId="0" borderId="0" xfId="44" applyNumberFormat="1" applyFont="1" applyFill="1" applyBorder="1" applyAlignment="1" applyProtection="1">
      <alignment horizontal="left"/>
      <protection locked="0"/>
    </xf>
    <xf numFmtId="164" fontId="4" fillId="0" borderId="1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 horizontal="center"/>
    </xf>
    <xf numFmtId="164" fontId="4" fillId="0" borderId="67" xfId="44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164" fontId="1" fillId="0" borderId="0" xfId="44" applyNumberFormat="1" applyFont="1" applyFill="1" applyBorder="1" applyAlignment="1" quotePrefix="1">
      <alignment horizontal="right"/>
    </xf>
    <xf numFmtId="0" fontId="4" fillId="0" borderId="0" xfId="0" applyNumberFormat="1" applyFont="1" applyFill="1" applyBorder="1" applyAlignment="1">
      <alignment horizontal="right"/>
    </xf>
    <xf numFmtId="165" fontId="1" fillId="0" borderId="0" xfId="42" applyNumberFormat="1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 13, 2006 Storm Damage - 18210201" xfId="57"/>
    <cellStyle name="Normal_Final_draft_121306_storm_reclass (3)" xfId="58"/>
    <cellStyle name="Note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chaText_Final_draft_121306_storm_reclass (3)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1" name="SAPBEXq0001 C29BFF5EC1C9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SAPBEXq0001 C29BFF5EC1C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1 C29BFF5EC1C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4" name="SAPBEXq0001 C29BFF5EC1CA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29BFF5EC1C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1 C29BFF5EC1C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7" name="SAPBEXq0001 C29BFF5EC1CB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29BFF5EC1C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1 C29BFF5EC1C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10" name="SAPBEXq0001 C29BFF5EC1CC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1" name="SAPBEXq0001 C29BFF5EC1C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1 C29BFF5EC1C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13" name="SAPBEXq0001 C29BFF5EC1CD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4" name="SAPBEXq0001 C29BFF5EC1C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5" name="SAPBEXq0001 C29BFF5EC1C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16" name="SAPBEXq0001 C29BFF5EC1CE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7" name="SAPBEXq0001 C29BFF5EC1C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8" name="SAPBEXq0001 C29BFF5EC1C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19" name="SAPBEXq0001 C29BFF5EC1CF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0" name="SAPBEXq0001 C29BFF5EC1C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21" name="SAPBEXq0001 C29BFF5EC1C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22" name="SAPBEXq0001 C29BFF3B391910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3" name="SAPBEXq0001 C29BFF3B3919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24" name="SAPBEXq0001 C29BFF3B3919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25" name="SAPBEXq0001 C29BFF3B391911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6" name="SAPBEXq0001 C29BFF3B3919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27" name="SAPBEXq0001 C29BFF3B3919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28" name="SAPBEXq0001 C29BFF3B391912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9" name="SAPBEXq0001 C29BFF3B3919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0" name="SAPBEXq0001 C29BFF3B391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31" name="SAPBEXq0001 C29BFF3B391913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" name="SAPBEXq0001 C29BFF3B3919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3" name="SAPBEXq0001 C29BFF3B3919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34" name="SAPBEXq0001 C29BFF3B391914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5" name="SAPBEXq0001 C29BFF3B3919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6" name="SAPBEXq0001 C29BFF3B3919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37" name="SAPBEXq0001 C29BFF3BC38716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8" name="SAPBEXq0001 C29BFF3BC387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9" name="SAPBEXq0001 C29BFF3BC387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40" name="SAPBEXq0001 C29BFF3BC38717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41" name="SAPBEXq0001 C29BFF3BC387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42" name="SAPBEXq0001 C29BFF3BC387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43" name="SAPBEXq0001 C29BFF3BC38718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44" name="SAPBEXq0001 C29BFF3BC3871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45" name="SAPBEXq0001 C29BFF3BC3871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46" name="SAPBEXq0001 C29BFF3BC38719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47" name="SAPBEXq0001 C29BFF3BC3871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48" name="SAPBEXq0001 C29BFF3BC3871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49" name="SAPBEXq0001 C29BFF3BC3871A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0" name="SAPBEXq0001 C29BFF3BC3871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51" name="SAPBEXq0001 C29BFF3BC3871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52" name="SAPBEXq0001 C29BFF3BC3871B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3" name="SAPBEXq0001 C29BFF3BC3871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54" name="SAPBEXq0001 C29BFF3BC3871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55" name="SAPBEXq0001 C29BFF3BC3871C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6" name="SAPBEXq0001 C29BFF3BC3871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57" name="SAPBEXq0001 C29BFF3BC3871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0</xdr:row>
      <xdr:rowOff>0</xdr:rowOff>
    </xdr:from>
    <xdr:ext cx="152400" cy="161925"/>
    <xdr:grpSp>
      <xdr:nvGrpSpPr>
        <xdr:cNvPr id="58" name="SAPBEXq0001 C29BFF5F9F41D"/>
        <xdr:cNvGrpSpPr>
          <a:grpSpLocks noChangeAspect="1"/>
        </xdr:cNvGrpSpPr>
      </xdr:nvGrpSpPr>
      <xdr:grpSpPr>
        <a:xfrm>
          <a:off x="238125" y="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9" name="SAPBEXq0001 C29BFF5F9F41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0" name="SAPBEXq0001 C29BFF5F9F41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29">
      <selection activeCell="E60" sqref="E60"/>
    </sheetView>
  </sheetViews>
  <sheetFormatPr defaultColWidth="8.8515625" defaultRowHeight="12.75"/>
  <cols>
    <col min="1" max="1" width="5.7109375" style="13" bestFit="1" customWidth="1"/>
    <col min="2" max="2" width="66.7109375" style="13" bestFit="1" customWidth="1"/>
    <col min="3" max="3" width="13.57421875" style="13" bestFit="1" customWidth="1"/>
    <col min="4" max="4" width="15.28125" style="13" bestFit="1" customWidth="1"/>
    <col min="5" max="5" width="14.7109375" style="13" bestFit="1" customWidth="1"/>
    <col min="6" max="6" width="15.8515625" style="13" bestFit="1" customWidth="1"/>
    <col min="7" max="7" width="1.7109375" style="13" customWidth="1"/>
    <col min="8" max="8" width="12.00390625" style="13" bestFit="1" customWidth="1"/>
    <col min="9" max="9" width="12.00390625" style="13" customWidth="1"/>
    <col min="10" max="10" width="2.8515625" style="13" customWidth="1"/>
    <col min="11" max="16384" width="8.8515625" style="13" customWidth="1"/>
  </cols>
  <sheetData>
    <row r="1" ht="12.75">
      <c r="I1" s="140" t="s">
        <v>364</v>
      </c>
    </row>
    <row r="2" spans="1:9" ht="12.75">
      <c r="A2" s="4"/>
      <c r="B2" s="5"/>
      <c r="C2" s="5"/>
      <c r="D2" s="5"/>
      <c r="I2" s="140" t="s">
        <v>365</v>
      </c>
    </row>
    <row r="3" spans="1:9" ht="12.75">
      <c r="A3" s="6"/>
      <c r="B3" s="6"/>
      <c r="C3" s="6"/>
      <c r="D3" s="6"/>
      <c r="E3" s="6"/>
      <c r="I3" s="362" t="s">
        <v>366</v>
      </c>
    </row>
    <row r="4" spans="1:6" ht="12.75">
      <c r="A4" s="7"/>
      <c r="B4" s="7"/>
      <c r="C4" s="7"/>
      <c r="D4" s="7"/>
      <c r="E4" s="7"/>
      <c r="F4" s="7"/>
    </row>
    <row r="5" spans="1:6" ht="12.75">
      <c r="A5" s="8" t="s">
        <v>19</v>
      </c>
      <c r="B5" s="9"/>
      <c r="C5" s="9"/>
      <c r="D5" s="9"/>
      <c r="E5" s="9"/>
      <c r="F5" s="9"/>
    </row>
    <row r="6" spans="1:6" ht="12.75">
      <c r="A6" s="9" t="s">
        <v>4</v>
      </c>
      <c r="B6" s="9"/>
      <c r="C6" s="9"/>
      <c r="D6" s="9"/>
      <c r="E6" s="9"/>
      <c r="F6" s="9"/>
    </row>
    <row r="7" spans="1:6" ht="12.75">
      <c r="A7" s="9" t="s">
        <v>32</v>
      </c>
      <c r="B7" s="9"/>
      <c r="C7" s="9"/>
      <c r="D7" s="9"/>
      <c r="E7" s="9"/>
      <c r="F7" s="9"/>
    </row>
    <row r="8" spans="1:6" ht="12.75">
      <c r="A8" s="8" t="s">
        <v>26</v>
      </c>
      <c r="B8" s="9"/>
      <c r="C8" s="9"/>
      <c r="D8" s="9"/>
      <c r="E8" s="9"/>
      <c r="F8" s="9"/>
    </row>
    <row r="9" spans="1:6" ht="12.75">
      <c r="A9" s="7"/>
      <c r="B9" s="10"/>
      <c r="C9" s="10"/>
      <c r="D9" s="10"/>
      <c r="E9" s="10"/>
      <c r="F9" s="7"/>
    </row>
    <row r="10" spans="1:9" ht="12.75">
      <c r="A10" s="137" t="s">
        <v>5</v>
      </c>
      <c r="B10" s="138"/>
      <c r="C10" s="138"/>
      <c r="D10" s="138"/>
      <c r="E10" s="138"/>
      <c r="F10" s="139" t="s">
        <v>360</v>
      </c>
      <c r="H10" s="14" t="s">
        <v>368</v>
      </c>
      <c r="I10" s="14" t="s">
        <v>361</v>
      </c>
    </row>
    <row r="11" spans="1:9" ht="12.75">
      <c r="A11" s="11" t="s">
        <v>6</v>
      </c>
      <c r="B11" s="12" t="s">
        <v>7</v>
      </c>
      <c r="C11" s="12"/>
      <c r="D11" s="12"/>
      <c r="E11" s="12"/>
      <c r="F11" s="15" t="s">
        <v>8</v>
      </c>
      <c r="H11" s="358" t="s">
        <v>133</v>
      </c>
      <c r="I11" s="14" t="s">
        <v>369</v>
      </c>
    </row>
    <row r="13" spans="1:6" ht="12.75">
      <c r="A13" s="14">
        <v>1</v>
      </c>
      <c r="B13" s="15" t="s">
        <v>9</v>
      </c>
      <c r="C13" s="15"/>
      <c r="D13" s="12" t="s">
        <v>3</v>
      </c>
      <c r="E13" s="15" t="s">
        <v>10</v>
      </c>
      <c r="F13" s="15" t="s">
        <v>1</v>
      </c>
    </row>
    <row r="14" spans="1:6" ht="12.75">
      <c r="A14" s="14">
        <f aca="true" t="shared" si="0" ref="A14:A54">A13+1</f>
        <v>2</v>
      </c>
      <c r="B14" s="16" t="s">
        <v>11</v>
      </c>
      <c r="C14" s="17"/>
      <c r="D14" s="17"/>
      <c r="E14" s="17"/>
      <c r="F14" s="18"/>
    </row>
    <row r="15" spans="1:8" ht="12.75">
      <c r="A15" s="14">
        <f t="shared" si="0"/>
        <v>3</v>
      </c>
      <c r="B15" s="19" t="s">
        <v>12</v>
      </c>
      <c r="C15" s="19"/>
      <c r="D15" s="345">
        <f>'O&amp;M'!C21</f>
        <v>-4894.41</v>
      </c>
      <c r="E15" s="345">
        <f>'O&amp;M'!D21</f>
        <v>6583314.63</v>
      </c>
      <c r="F15" s="346">
        <f aca="true" t="shared" si="1" ref="F15:F20">SUM(D15:E15)</f>
        <v>6578420.22</v>
      </c>
      <c r="G15" s="347"/>
      <c r="H15" s="347"/>
    </row>
    <row r="16" spans="1:8" ht="12.75">
      <c r="A16" s="14">
        <f t="shared" si="0"/>
        <v>4</v>
      </c>
      <c r="B16" s="19" t="s">
        <v>13</v>
      </c>
      <c r="C16" s="19"/>
      <c r="D16" s="345">
        <f>'O&amp;M'!C22</f>
        <v>6614.77</v>
      </c>
      <c r="E16" s="345">
        <f>'O&amp;M'!D22</f>
        <v>5325797.12</v>
      </c>
      <c r="F16" s="346">
        <f t="shared" si="1"/>
        <v>5332411.89</v>
      </c>
      <c r="G16" s="347"/>
      <c r="H16" s="347"/>
    </row>
    <row r="17" spans="1:8" ht="12.75">
      <c r="A17" s="14">
        <f t="shared" si="0"/>
        <v>5</v>
      </c>
      <c r="B17" s="19" t="s">
        <v>17</v>
      </c>
      <c r="C17" s="19"/>
      <c r="D17" s="345">
        <f>'O&amp;M'!C23</f>
        <v>202197.1</v>
      </c>
      <c r="E17" s="345">
        <f>'O&amp;M'!D23</f>
        <v>12062137.54</v>
      </c>
      <c r="F17" s="346">
        <f t="shared" si="1"/>
        <v>12264334.639999999</v>
      </c>
      <c r="G17" s="347"/>
      <c r="H17" s="347"/>
    </row>
    <row r="18" spans="1:8" ht="12.75">
      <c r="A18" s="14">
        <f t="shared" si="0"/>
        <v>6</v>
      </c>
      <c r="B18" s="19" t="s">
        <v>18</v>
      </c>
      <c r="C18" s="19"/>
      <c r="D18" s="345">
        <f>'O&amp;M'!C24</f>
        <v>50866.08</v>
      </c>
      <c r="E18" s="345">
        <f>'O&amp;M'!D24</f>
        <v>1947137.44</v>
      </c>
      <c r="F18" s="346">
        <f t="shared" si="1"/>
        <v>1998003.52</v>
      </c>
      <c r="G18" s="347"/>
      <c r="H18" s="347"/>
    </row>
    <row r="19" spans="1:8" ht="12.75">
      <c r="A19" s="14">
        <f t="shared" si="0"/>
        <v>7</v>
      </c>
      <c r="B19" s="19" t="s">
        <v>22</v>
      </c>
      <c r="C19" s="19"/>
      <c r="D19" s="345">
        <f>'O&amp;M'!C25</f>
        <v>417714.02</v>
      </c>
      <c r="E19" s="345">
        <f>'O&amp;M'!D25</f>
        <v>10336884.65</v>
      </c>
      <c r="F19" s="346">
        <f t="shared" si="1"/>
        <v>10754598.67</v>
      </c>
      <c r="G19" s="347"/>
      <c r="H19" s="347"/>
    </row>
    <row r="20" spans="1:8" ht="12.75">
      <c r="A20" s="14">
        <f t="shared" si="0"/>
        <v>8</v>
      </c>
      <c r="B20" s="19" t="s">
        <v>27</v>
      </c>
      <c r="C20" s="19"/>
      <c r="D20" s="348">
        <f>'O&amp;M'!C26</f>
        <v>495729.98</v>
      </c>
      <c r="E20" s="348">
        <f>'O&amp;M'!D26</f>
        <v>10500627.66</v>
      </c>
      <c r="F20" s="349">
        <f t="shared" si="1"/>
        <v>10996357.64</v>
      </c>
      <c r="G20" s="347"/>
      <c r="H20" s="347"/>
    </row>
    <row r="21" spans="1:8" ht="12.75">
      <c r="A21" s="14">
        <f t="shared" si="0"/>
        <v>9</v>
      </c>
      <c r="B21" s="20" t="s">
        <v>14</v>
      </c>
      <c r="C21" s="20"/>
      <c r="D21" s="350">
        <f>SUM(D15:D20)</f>
        <v>1168227.54</v>
      </c>
      <c r="E21" s="350">
        <f>SUM(E15:E20)</f>
        <v>46755899.04000001</v>
      </c>
      <c r="F21" s="350">
        <f>SUM(F15:F20)</f>
        <v>47924126.58</v>
      </c>
      <c r="G21" s="347"/>
      <c r="H21" s="347"/>
    </row>
    <row r="22" spans="1:8" ht="12.75">
      <c r="A22" s="14">
        <f t="shared" si="0"/>
        <v>10</v>
      </c>
      <c r="D22" s="347"/>
      <c r="E22" s="347"/>
      <c r="F22" s="347"/>
      <c r="G22" s="347"/>
      <c r="H22" s="347"/>
    </row>
    <row r="23" spans="1:9" ht="12.75">
      <c r="A23" s="14">
        <f t="shared" si="0"/>
        <v>11</v>
      </c>
      <c r="B23" s="13" t="s">
        <v>102</v>
      </c>
      <c r="D23" s="347">
        <f>D21/6</f>
        <v>194704.59</v>
      </c>
      <c r="E23" s="347">
        <f>E21/6</f>
        <v>7792649.840000001</v>
      </c>
      <c r="F23" s="345">
        <f>+F21/6</f>
        <v>7987354.43</v>
      </c>
      <c r="G23" s="347"/>
      <c r="H23" s="347">
        <f>F23</f>
        <v>7987354.43</v>
      </c>
      <c r="I23" s="359">
        <f>H23-F23</f>
        <v>0</v>
      </c>
    </row>
    <row r="24" spans="1:8" ht="12.75">
      <c r="A24" s="14">
        <f t="shared" si="0"/>
        <v>12</v>
      </c>
      <c r="D24" s="347"/>
      <c r="E24" s="347"/>
      <c r="F24" s="347"/>
      <c r="G24" s="347"/>
      <c r="H24" s="347"/>
    </row>
    <row r="25" spans="1:8" ht="12.75">
      <c r="A25" s="14">
        <f t="shared" si="0"/>
        <v>13</v>
      </c>
      <c r="B25" s="24" t="s">
        <v>31</v>
      </c>
      <c r="C25" s="24"/>
      <c r="D25" s="351"/>
      <c r="E25" s="351"/>
      <c r="F25" s="347"/>
      <c r="G25" s="347"/>
      <c r="H25" s="347"/>
    </row>
    <row r="26" spans="1:9" ht="12.75">
      <c r="A26" s="14">
        <f t="shared" si="0"/>
        <v>14</v>
      </c>
      <c r="B26" s="109" t="s">
        <v>23</v>
      </c>
      <c r="C26" s="109"/>
      <c r="D26" s="349">
        <f>D20</f>
        <v>495729.98</v>
      </c>
      <c r="E26" s="349">
        <f>E20</f>
        <v>10500627.66</v>
      </c>
      <c r="F26" s="348">
        <f>F20</f>
        <v>10996357.64</v>
      </c>
      <c r="G26" s="347"/>
      <c r="H26" s="347">
        <f>F26</f>
        <v>10996357.64</v>
      </c>
      <c r="I26" s="359">
        <f>H26-F26</f>
        <v>0</v>
      </c>
    </row>
    <row r="27" spans="1:8" ht="12.75">
      <c r="A27" s="14">
        <f t="shared" si="0"/>
        <v>15</v>
      </c>
      <c r="D27" s="347"/>
      <c r="E27" s="347"/>
      <c r="F27" s="347"/>
      <c r="G27" s="347"/>
      <c r="H27" s="347"/>
    </row>
    <row r="28" spans="1:9" ht="12.75">
      <c r="A28" s="14">
        <f t="shared" si="0"/>
        <v>16</v>
      </c>
      <c r="B28" s="21" t="s">
        <v>21</v>
      </c>
      <c r="C28" s="21"/>
      <c r="D28" s="345">
        <f>D23-D26</f>
        <v>-301025.39</v>
      </c>
      <c r="E28" s="345">
        <f>E23-E26</f>
        <v>-2707977.8199999994</v>
      </c>
      <c r="F28" s="345">
        <f>F23-F26</f>
        <v>-3009003.210000001</v>
      </c>
      <c r="G28" s="347"/>
      <c r="H28" s="345">
        <f>H23-H26</f>
        <v>-3009003.210000001</v>
      </c>
      <c r="I28" s="359">
        <f>H28-F28</f>
        <v>0</v>
      </c>
    </row>
    <row r="29" spans="1:8" ht="12.75">
      <c r="A29" s="14">
        <f t="shared" si="0"/>
        <v>17</v>
      </c>
      <c r="D29" s="347"/>
      <c r="E29" s="347"/>
      <c r="F29" s="347"/>
      <c r="G29" s="347"/>
      <c r="H29" s="347"/>
    </row>
    <row r="30" spans="1:8" ht="12.75">
      <c r="A30" s="14">
        <f t="shared" si="0"/>
        <v>18</v>
      </c>
      <c r="D30" s="347"/>
      <c r="E30" s="347"/>
      <c r="F30" s="347"/>
      <c r="G30" s="347"/>
      <c r="H30" s="347"/>
    </row>
    <row r="31" spans="1:9" ht="12.75">
      <c r="A31" s="14">
        <f t="shared" si="0"/>
        <v>19</v>
      </c>
      <c r="B31" s="25" t="s">
        <v>15</v>
      </c>
      <c r="C31" s="25"/>
      <c r="D31" s="352"/>
      <c r="E31" s="352"/>
      <c r="F31" s="352"/>
      <c r="G31" s="348"/>
      <c r="H31" s="348"/>
      <c r="I31" s="360"/>
    </row>
    <row r="32" spans="1:8" ht="12.75">
      <c r="A32" s="14">
        <f t="shared" si="0"/>
        <v>20</v>
      </c>
      <c r="B32" s="110" t="s">
        <v>103</v>
      </c>
      <c r="C32" s="110"/>
      <c r="D32" s="353"/>
      <c r="E32" s="353"/>
      <c r="F32" s="347"/>
      <c r="G32" s="347"/>
      <c r="H32" s="347"/>
    </row>
    <row r="33" spans="1:8" ht="12.75">
      <c r="A33" s="14">
        <f t="shared" si="0"/>
        <v>21</v>
      </c>
      <c r="B33" s="111" t="s">
        <v>104</v>
      </c>
      <c r="C33" s="123"/>
      <c r="D33" s="347"/>
      <c r="E33" s="345"/>
      <c r="F33" s="345"/>
      <c r="G33" s="345"/>
      <c r="H33" s="347"/>
    </row>
    <row r="34" spans="1:8" ht="12.75">
      <c r="A34" s="14">
        <f t="shared" si="0"/>
        <v>22</v>
      </c>
      <c r="B34" s="112" t="s">
        <v>105</v>
      </c>
      <c r="C34" s="131">
        <f>'Catastrophic Storms'!P8</f>
        <v>3313915.7</v>
      </c>
      <c r="D34" s="347"/>
      <c r="E34" s="345"/>
      <c r="F34" s="345"/>
      <c r="G34" s="345"/>
      <c r="H34" s="347"/>
    </row>
    <row r="35" spans="1:8" ht="12.75">
      <c r="A35" s="14">
        <f t="shared" si="0"/>
        <v>23</v>
      </c>
      <c r="B35" s="112" t="s">
        <v>106</v>
      </c>
      <c r="C35" s="131">
        <f>'Catastrophic Storms'!P10</f>
        <v>24436289.11</v>
      </c>
      <c r="D35" s="347"/>
      <c r="E35" s="345"/>
      <c r="F35" s="345"/>
      <c r="G35" s="345"/>
      <c r="H35" s="347"/>
    </row>
    <row r="36" spans="1:8" ht="12.75">
      <c r="A36" s="14">
        <f t="shared" si="0"/>
        <v>24</v>
      </c>
      <c r="B36" s="112" t="s">
        <v>107</v>
      </c>
      <c r="C36" s="136">
        <f>'Catastrophic Storms'!P14</f>
        <v>781319.83</v>
      </c>
      <c r="D36" s="347"/>
      <c r="E36" s="345"/>
      <c r="F36" s="345"/>
      <c r="G36" s="345"/>
      <c r="H36" s="347"/>
    </row>
    <row r="37" spans="1:8" ht="12.75">
      <c r="A37" s="14">
        <f t="shared" si="0"/>
        <v>25</v>
      </c>
      <c r="B37" s="111" t="s">
        <v>115</v>
      </c>
      <c r="C37" s="123">
        <f>SUM(C34:C36)</f>
        <v>28531524.639999997</v>
      </c>
      <c r="D37" s="347"/>
      <c r="E37" s="345"/>
      <c r="F37" s="345"/>
      <c r="G37" s="345"/>
      <c r="H37" s="347"/>
    </row>
    <row r="38" spans="1:9" ht="12.75">
      <c r="A38" s="14">
        <f t="shared" si="0"/>
        <v>26</v>
      </c>
      <c r="B38" s="111" t="s">
        <v>362</v>
      </c>
      <c r="C38" s="123"/>
      <c r="D38" s="347">
        <f>C37/3</f>
        <v>9510508.213333333</v>
      </c>
      <c r="E38" s="345"/>
      <c r="F38" s="345"/>
      <c r="G38" s="345"/>
      <c r="H38" s="347">
        <f>D38</f>
        <v>9510508.213333333</v>
      </c>
      <c r="I38" s="359">
        <f>H38-D38</f>
        <v>0</v>
      </c>
    </row>
    <row r="39" spans="1:8" ht="12.75">
      <c r="A39" s="14">
        <f t="shared" si="0"/>
        <v>27</v>
      </c>
      <c r="B39" s="111"/>
      <c r="C39" s="123"/>
      <c r="D39" s="347"/>
      <c r="E39" s="345"/>
      <c r="F39" s="345"/>
      <c r="G39" s="345"/>
      <c r="H39" s="347"/>
    </row>
    <row r="40" spans="1:8" ht="12.75">
      <c r="A40" s="14">
        <f t="shared" si="0"/>
        <v>28</v>
      </c>
      <c r="B40" s="110" t="s">
        <v>109</v>
      </c>
      <c r="C40" s="128"/>
      <c r="D40" s="347"/>
      <c r="E40" s="345"/>
      <c r="F40" s="345"/>
      <c r="G40" s="345"/>
      <c r="H40" s="347"/>
    </row>
    <row r="41" spans="1:8" ht="12.75">
      <c r="A41" s="14">
        <f t="shared" si="0"/>
        <v>29</v>
      </c>
      <c r="B41" s="111" t="s">
        <v>104</v>
      </c>
      <c r="C41" s="123"/>
      <c r="D41" s="347"/>
      <c r="E41" s="345"/>
      <c r="F41" s="345"/>
      <c r="G41" s="345"/>
      <c r="H41" s="347"/>
    </row>
    <row r="42" spans="1:8" ht="13.5">
      <c r="A42" s="14">
        <f t="shared" si="0"/>
        <v>30</v>
      </c>
      <c r="B42" s="112" t="s">
        <v>110</v>
      </c>
      <c r="C42" s="147">
        <f>'Catastrophic Storms'!P12</f>
        <v>79849845.505136</v>
      </c>
      <c r="D42" s="347"/>
      <c r="E42" s="345"/>
      <c r="G42" s="345"/>
      <c r="H42" s="347"/>
    </row>
    <row r="43" spans="1:8" ht="13.5">
      <c r="A43" s="14">
        <f t="shared" si="0"/>
        <v>31</v>
      </c>
      <c r="B43" s="111" t="s">
        <v>116</v>
      </c>
      <c r="C43" s="313">
        <f>C42</f>
        <v>79849845.505136</v>
      </c>
      <c r="D43" s="347"/>
      <c r="E43" s="345"/>
      <c r="F43" s="363">
        <v>10</v>
      </c>
      <c r="G43" s="345"/>
      <c r="H43" s="361" t="s">
        <v>367</v>
      </c>
    </row>
    <row r="44" spans="1:9" ht="12.75">
      <c r="A44" s="14">
        <f t="shared" si="0"/>
        <v>32</v>
      </c>
      <c r="B44" s="111" t="s">
        <v>363</v>
      </c>
      <c r="C44" s="123"/>
      <c r="D44" s="354">
        <f>C43/6</f>
        <v>13308307.584189333</v>
      </c>
      <c r="E44" s="345"/>
      <c r="G44" s="345"/>
      <c r="H44" s="348">
        <f>C43/F43</f>
        <v>7984984.5505136</v>
      </c>
      <c r="I44" s="359">
        <f>H44-D44</f>
        <v>-5323323.033675733</v>
      </c>
    </row>
    <row r="45" spans="1:9" ht="12.75">
      <c r="A45" s="14">
        <f t="shared" si="0"/>
        <v>33</v>
      </c>
      <c r="B45" s="111" t="s">
        <v>117</v>
      </c>
      <c r="C45" s="123"/>
      <c r="D45" s="347"/>
      <c r="E45" s="355">
        <f>D38+D44</f>
        <v>22818815.797522664</v>
      </c>
      <c r="F45" s="348">
        <f>E45</f>
        <v>22818815.797522664</v>
      </c>
      <c r="G45" s="345"/>
      <c r="H45" s="347">
        <f>H44+H38</f>
        <v>17495492.763846934</v>
      </c>
      <c r="I45" s="347">
        <f>I44+I38</f>
        <v>-5323323.033675733</v>
      </c>
    </row>
    <row r="46" spans="1:8" ht="12.75">
      <c r="A46" s="14">
        <f t="shared" si="0"/>
        <v>34</v>
      </c>
      <c r="B46" s="111" t="s">
        <v>38</v>
      </c>
      <c r="C46" s="123"/>
      <c r="D46" s="347"/>
      <c r="E46" s="348">
        <f>'Storm Amortization'!I17</f>
        <v>3843257.48</v>
      </c>
      <c r="F46" s="345"/>
      <c r="G46" s="345"/>
      <c r="H46" s="348">
        <f>E46</f>
        <v>3843257.48</v>
      </c>
    </row>
    <row r="47" spans="1:8" ht="12.75">
      <c r="A47" s="14">
        <f t="shared" si="0"/>
        <v>35</v>
      </c>
      <c r="B47" s="111"/>
      <c r="C47" s="123"/>
      <c r="D47" s="347"/>
      <c r="E47" s="345"/>
      <c r="F47" s="345"/>
      <c r="G47" s="345"/>
      <c r="H47" s="347"/>
    </row>
    <row r="48" spans="1:9" ht="12.75">
      <c r="A48" s="14">
        <f t="shared" si="0"/>
        <v>36</v>
      </c>
      <c r="B48" s="21" t="s">
        <v>112</v>
      </c>
      <c r="C48" s="132"/>
      <c r="D48" s="347"/>
      <c r="E48" s="345"/>
      <c r="F48" s="354">
        <f>D38+D44-E46</f>
        <v>18975558.317522664</v>
      </c>
      <c r="G48" s="345"/>
      <c r="H48" s="347">
        <f>H45-H46</f>
        <v>13652235.283846933</v>
      </c>
      <c r="I48" s="347">
        <f>H48-F48</f>
        <v>-5323323.03367573</v>
      </c>
    </row>
    <row r="49" spans="1:8" ht="12.75">
      <c r="A49" s="14">
        <f t="shared" si="0"/>
        <v>37</v>
      </c>
      <c r="B49" s="111"/>
      <c r="C49" s="123"/>
      <c r="D49" s="347"/>
      <c r="E49" s="345"/>
      <c r="F49" s="345"/>
      <c r="G49" s="345"/>
      <c r="H49" s="347"/>
    </row>
    <row r="50" spans="1:9" ht="12.75">
      <c r="A50" s="14">
        <f t="shared" si="0"/>
        <v>38</v>
      </c>
      <c r="B50" s="113" t="s">
        <v>113</v>
      </c>
      <c r="C50" s="125"/>
      <c r="D50" s="347"/>
      <c r="E50" s="345"/>
      <c r="F50" s="355">
        <f>F28+F48</f>
        <v>15966555.107522663</v>
      </c>
      <c r="G50" s="345"/>
      <c r="H50" s="355">
        <f>H28+H48</f>
        <v>10643232.073846933</v>
      </c>
      <c r="I50" s="347">
        <f>H50-F50</f>
        <v>-5323323.03367573</v>
      </c>
    </row>
    <row r="51" spans="1:8" ht="12.75">
      <c r="A51" s="14">
        <f t="shared" si="0"/>
        <v>39</v>
      </c>
      <c r="B51" s="114"/>
      <c r="C51" s="133"/>
      <c r="D51" s="356"/>
      <c r="E51" s="356"/>
      <c r="F51" s="355"/>
      <c r="G51" s="345"/>
      <c r="H51" s="347"/>
    </row>
    <row r="52" spans="1:9" ht="12.75">
      <c r="A52" s="14">
        <f t="shared" si="0"/>
        <v>40</v>
      </c>
      <c r="B52" s="114" t="s">
        <v>114</v>
      </c>
      <c r="C52" s="133"/>
      <c r="D52" s="347"/>
      <c r="E52" s="345"/>
      <c r="F52" s="354">
        <f>-F50*0.35</f>
        <v>-5588294.287632932</v>
      </c>
      <c r="G52" s="345"/>
      <c r="H52" s="354">
        <f>-H50*0.35</f>
        <v>-3725131.225846426</v>
      </c>
      <c r="I52" s="354">
        <f>-I50*0.35</f>
        <v>1863163.0617865054</v>
      </c>
    </row>
    <row r="53" spans="1:8" ht="12.75">
      <c r="A53" s="14">
        <f t="shared" si="0"/>
        <v>41</v>
      </c>
      <c r="B53" s="114"/>
      <c r="C53" s="133"/>
      <c r="D53" s="347"/>
      <c r="E53" s="345"/>
      <c r="F53" s="355"/>
      <c r="G53" s="345"/>
      <c r="H53" s="347"/>
    </row>
    <row r="54" spans="1:9" ht="13.5" thickBot="1">
      <c r="A54" s="14">
        <f t="shared" si="0"/>
        <v>42</v>
      </c>
      <c r="B54" s="114" t="s">
        <v>16</v>
      </c>
      <c r="C54" s="133"/>
      <c r="D54" s="347"/>
      <c r="E54" s="345"/>
      <c r="F54" s="357">
        <f>-F50-F52</f>
        <v>-10378260.819889732</v>
      </c>
      <c r="G54" s="345"/>
      <c r="H54" s="357">
        <f>-H50-H52</f>
        <v>-6918100.848000506</v>
      </c>
      <c r="I54" s="357">
        <f>-I50-I52</f>
        <v>3460159.971889225</v>
      </c>
    </row>
    <row r="55" spans="1:8" ht="13.5" thickTop="1">
      <c r="A55" s="14"/>
      <c r="C55" s="123"/>
      <c r="D55" s="347"/>
      <c r="E55" s="345"/>
      <c r="F55" s="345"/>
      <c r="G55" s="345"/>
      <c r="H55" s="347"/>
    </row>
    <row r="56" spans="1:8" ht="13.5">
      <c r="A56" s="148" t="s">
        <v>341</v>
      </c>
      <c r="C56" s="123"/>
      <c r="D56" s="347"/>
      <c r="E56" s="345"/>
      <c r="F56" s="345"/>
      <c r="G56" s="345"/>
      <c r="H56" s="347"/>
    </row>
    <row r="57" spans="3:8" ht="12.75">
      <c r="C57" s="123"/>
      <c r="D57" s="347"/>
      <c r="E57" s="347"/>
      <c r="F57" s="347"/>
      <c r="G57" s="347"/>
      <c r="H57" s="347"/>
    </row>
    <row r="58" ht="12.75">
      <c r="C58" s="123"/>
    </row>
    <row r="59" ht="12.75">
      <c r="C59" s="123"/>
    </row>
    <row r="60" ht="12.75">
      <c r="C60" s="123"/>
    </row>
    <row r="61" ht="12.75">
      <c r="C61" s="123"/>
    </row>
    <row r="62" ht="12.75">
      <c r="C62" s="123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.421875" style="336" customWidth="1"/>
    <col min="2" max="2" width="45.140625" style="336" customWidth="1"/>
    <col min="3" max="3" width="1.28515625" style="336" customWidth="1"/>
    <col min="4" max="4" width="13.140625" style="336" customWidth="1"/>
    <col min="5" max="5" width="1.421875" style="336" customWidth="1"/>
    <col min="6" max="6" width="23.28125" style="336" customWidth="1"/>
    <col min="7" max="16384" width="9.140625" style="336" customWidth="1"/>
  </cols>
  <sheetData>
    <row r="1" ht="12.75">
      <c r="A1" s="336" t="s">
        <v>346</v>
      </c>
    </row>
    <row r="2" spans="1:6" ht="12.75">
      <c r="A2" s="337" t="s">
        <v>358</v>
      </c>
      <c r="B2" s="337"/>
      <c r="D2" s="338" t="s">
        <v>133</v>
      </c>
      <c r="E2" s="339"/>
      <c r="F2" s="337" t="s">
        <v>348</v>
      </c>
    </row>
    <row r="3" spans="1:6" ht="12.75">
      <c r="A3" s="336" t="s">
        <v>347</v>
      </c>
      <c r="D3" s="340">
        <f>'11.31E - Storm Adjustment'!$F$23</f>
        <v>7987354.43</v>
      </c>
      <c r="E3" s="341"/>
      <c r="F3" s="336" t="s">
        <v>350</v>
      </c>
    </row>
    <row r="4" spans="1:5" ht="12.75">
      <c r="A4" s="336" t="s">
        <v>349</v>
      </c>
      <c r="D4" s="341"/>
      <c r="E4" s="341"/>
    </row>
    <row r="5" spans="2:6" ht="12.75">
      <c r="B5" s="342" t="s">
        <v>352</v>
      </c>
      <c r="C5" s="342"/>
      <c r="D5" s="341">
        <f>'11.31E - Storm Adjustment'!C34/3</f>
        <v>1104638.5666666667</v>
      </c>
      <c r="E5" s="341"/>
      <c r="F5" s="336" t="s">
        <v>354</v>
      </c>
    </row>
    <row r="6" spans="2:6" ht="12.75">
      <c r="B6" s="336" t="s">
        <v>351</v>
      </c>
      <c r="D6" s="341">
        <f>'11.31E - Storm Adjustment'!C35/3</f>
        <v>8145429.703333333</v>
      </c>
      <c r="E6" s="341"/>
      <c r="F6" s="336" t="s">
        <v>354</v>
      </c>
    </row>
    <row r="7" spans="2:6" ht="12.75">
      <c r="B7" s="336" t="s">
        <v>353</v>
      </c>
      <c r="D7" s="341">
        <f>'11.31E - Storm Adjustment'!C36/3</f>
        <v>260439.94333333333</v>
      </c>
      <c r="E7" s="341"/>
      <c r="F7" s="336" t="s">
        <v>354</v>
      </c>
    </row>
    <row r="8" spans="2:6" ht="12.75">
      <c r="B8" s="336" t="s">
        <v>359</v>
      </c>
      <c r="D8" s="341">
        <f>'11.31E - Storm Adjustment'!C42/6</f>
        <v>13308307.584189333</v>
      </c>
      <c r="E8" s="341"/>
      <c r="F8" s="336" t="s">
        <v>355</v>
      </c>
    </row>
    <row r="9" spans="2:5" ht="12.75">
      <c r="B9" s="336" t="s">
        <v>357</v>
      </c>
      <c r="D9" s="340">
        <f>SUM(D5:D8)</f>
        <v>22818815.797522664</v>
      </c>
      <c r="E9" s="341"/>
    </row>
    <row r="10" spans="1:5" ht="13.5" thickBot="1">
      <c r="A10" s="336" t="s">
        <v>356</v>
      </c>
      <c r="D10" s="343">
        <f>D9+D3</f>
        <v>30806170.227522664</v>
      </c>
      <c r="E10" s="344"/>
    </row>
    <row r="11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5.421875" style="1" bestFit="1" customWidth="1"/>
    <col min="2" max="2" width="66.7109375" style="1" bestFit="1" customWidth="1"/>
    <col min="3" max="3" width="12.8515625" style="1" bestFit="1" customWidth="1"/>
    <col min="4" max="4" width="12.140625" style="1" bestFit="1" customWidth="1"/>
    <col min="5" max="5" width="11.57421875" style="1" bestFit="1" customWidth="1"/>
    <col min="6" max="6" width="12.8515625" style="1" bestFit="1" customWidth="1"/>
    <col min="7" max="16384" width="8.8515625" style="1" customWidth="1"/>
  </cols>
  <sheetData>
    <row r="1" ht="12.75">
      <c r="F1" s="140" t="s">
        <v>118</v>
      </c>
    </row>
    <row r="2" spans="1:6" ht="13.5" thickBot="1">
      <c r="A2" s="4"/>
      <c r="B2" s="5"/>
      <c r="C2" s="5"/>
      <c r="D2" s="5"/>
      <c r="E2" s="13"/>
      <c r="F2" s="140" t="s">
        <v>344</v>
      </c>
    </row>
    <row r="3" spans="1:6" ht="13.5" thickBot="1">
      <c r="A3" s="6"/>
      <c r="B3" s="6"/>
      <c r="C3" s="6"/>
      <c r="D3" s="6"/>
      <c r="E3" s="6"/>
      <c r="F3" s="26" t="s">
        <v>345</v>
      </c>
    </row>
    <row r="4" spans="1:6" ht="12.75">
      <c r="A4" s="7"/>
      <c r="B4" s="7"/>
      <c r="C4" s="7"/>
      <c r="D4" s="7"/>
      <c r="E4" s="7"/>
      <c r="F4" s="7"/>
    </row>
    <row r="5" spans="1:6" ht="12.75">
      <c r="A5" s="8" t="s">
        <v>19</v>
      </c>
      <c r="B5" s="9"/>
      <c r="C5" s="9"/>
      <c r="D5" s="9"/>
      <c r="E5" s="9"/>
      <c r="F5" s="9"/>
    </row>
    <row r="6" spans="1:6" ht="12.75">
      <c r="A6" s="9" t="s">
        <v>4</v>
      </c>
      <c r="B6" s="9"/>
      <c r="C6" s="9"/>
      <c r="D6" s="9"/>
      <c r="E6" s="9"/>
      <c r="F6" s="9"/>
    </row>
    <row r="7" spans="1:6" ht="12.75">
      <c r="A7" s="9" t="s">
        <v>32</v>
      </c>
      <c r="B7" s="9"/>
      <c r="C7" s="9"/>
      <c r="D7" s="9"/>
      <c r="E7" s="9"/>
      <c r="F7" s="9"/>
    </row>
    <row r="8" spans="1:6" ht="12.75">
      <c r="A8" s="8" t="s">
        <v>26</v>
      </c>
      <c r="B8" s="9"/>
      <c r="C8" s="9"/>
      <c r="D8" s="9"/>
      <c r="E8" s="9"/>
      <c r="F8" s="9"/>
    </row>
    <row r="9" spans="1:6" ht="12.75">
      <c r="A9" s="7"/>
      <c r="B9" s="10"/>
      <c r="C9" s="10"/>
      <c r="D9" s="10"/>
      <c r="E9" s="10"/>
      <c r="F9" s="7"/>
    </row>
    <row r="10" spans="1:6" ht="12.75">
      <c r="A10" s="137" t="s">
        <v>5</v>
      </c>
      <c r="B10" s="138"/>
      <c r="C10" s="138"/>
      <c r="D10" s="138"/>
      <c r="E10" s="138"/>
      <c r="F10" s="139"/>
    </row>
    <row r="11" spans="1:6" ht="12.75">
      <c r="A11" s="11" t="s">
        <v>6</v>
      </c>
      <c r="B11" s="12" t="s">
        <v>7</v>
      </c>
      <c r="C11" s="12"/>
      <c r="D11" s="12"/>
      <c r="E11" s="12"/>
      <c r="F11" s="15" t="s">
        <v>8</v>
      </c>
    </row>
    <row r="12" spans="1:6" ht="12.75">
      <c r="A12" s="13"/>
      <c r="B12" s="13"/>
      <c r="C12" s="13"/>
      <c r="D12" s="13"/>
      <c r="E12" s="13"/>
      <c r="F12" s="13"/>
    </row>
    <row r="13" spans="1:6" ht="12.75">
      <c r="A13" s="14">
        <v>1</v>
      </c>
      <c r="B13" s="15" t="s">
        <v>9</v>
      </c>
      <c r="C13" s="15"/>
      <c r="D13" s="12" t="s">
        <v>3</v>
      </c>
      <c r="E13" s="15" t="s">
        <v>10</v>
      </c>
      <c r="F13" s="15" t="s">
        <v>1</v>
      </c>
    </row>
    <row r="14" spans="1:6" ht="12.75">
      <c r="A14" s="14">
        <f aca="true" t="shared" si="0" ref="A14:A54">A13+1</f>
        <v>2</v>
      </c>
      <c r="B14" s="16" t="s">
        <v>11</v>
      </c>
      <c r="C14" s="17"/>
      <c r="D14" s="17"/>
      <c r="E14" s="17"/>
      <c r="F14" s="18"/>
    </row>
    <row r="15" spans="1:6" ht="12.75">
      <c r="A15" s="14">
        <f t="shared" si="0"/>
        <v>3</v>
      </c>
      <c r="B15" s="19" t="s">
        <v>12</v>
      </c>
      <c r="C15" s="19"/>
      <c r="D15" s="117">
        <f>'O&amp;M'!C21</f>
        <v>-4894.41</v>
      </c>
      <c r="E15" s="117">
        <f>'O&amp;M'!D21</f>
        <v>6583314.63</v>
      </c>
      <c r="F15" s="135">
        <f aca="true" t="shared" si="1" ref="F15:F20">SUM(D15:E15)</f>
        <v>6578420.22</v>
      </c>
    </row>
    <row r="16" spans="1:6" ht="12.75">
      <c r="A16" s="14">
        <f t="shared" si="0"/>
        <v>4</v>
      </c>
      <c r="B16" s="19" t="s">
        <v>13</v>
      </c>
      <c r="C16" s="19"/>
      <c r="D16" s="118">
        <f>'O&amp;M'!C22</f>
        <v>6614.77</v>
      </c>
      <c r="E16" s="118">
        <f>'O&amp;M'!D22</f>
        <v>5325797.12</v>
      </c>
      <c r="F16" s="119">
        <f t="shared" si="1"/>
        <v>5332411.89</v>
      </c>
    </row>
    <row r="17" spans="1:6" ht="12.75">
      <c r="A17" s="14">
        <f t="shared" si="0"/>
        <v>5</v>
      </c>
      <c r="B17" s="19" t="s">
        <v>17</v>
      </c>
      <c r="C17" s="19"/>
      <c r="D17" s="118">
        <f>'O&amp;M'!C23</f>
        <v>202197.1</v>
      </c>
      <c r="E17" s="118">
        <f>'O&amp;M'!D23</f>
        <v>12062137.54</v>
      </c>
      <c r="F17" s="119">
        <f t="shared" si="1"/>
        <v>12264334.639999999</v>
      </c>
    </row>
    <row r="18" spans="1:6" ht="12.75">
      <c r="A18" s="14">
        <f t="shared" si="0"/>
        <v>6</v>
      </c>
      <c r="B18" s="19" t="s">
        <v>18</v>
      </c>
      <c r="C18" s="19"/>
      <c r="D18" s="118">
        <f>'O&amp;M'!C24</f>
        <v>50866.08</v>
      </c>
      <c r="E18" s="118">
        <f>'O&amp;M'!D24</f>
        <v>1947137.44</v>
      </c>
      <c r="F18" s="119">
        <f t="shared" si="1"/>
        <v>1998003.52</v>
      </c>
    </row>
    <row r="19" spans="1:6" ht="12.75">
      <c r="A19" s="14">
        <f t="shared" si="0"/>
        <v>7</v>
      </c>
      <c r="B19" s="19" t="s">
        <v>22</v>
      </c>
      <c r="C19" s="19"/>
      <c r="D19" s="118">
        <f>'O&amp;M'!C25</f>
        <v>417714.02</v>
      </c>
      <c r="E19" s="118">
        <f>'O&amp;M'!D25</f>
        <v>10336884.65</v>
      </c>
      <c r="F19" s="119">
        <f t="shared" si="1"/>
        <v>10754598.67</v>
      </c>
    </row>
    <row r="20" spans="1:6" ht="12.75">
      <c r="A20" s="14">
        <f t="shared" si="0"/>
        <v>8</v>
      </c>
      <c r="B20" s="19" t="s">
        <v>27</v>
      </c>
      <c r="C20" s="19"/>
      <c r="D20" s="120">
        <f>'O&amp;M'!C26</f>
        <v>495729.98</v>
      </c>
      <c r="E20" s="120">
        <f>'O&amp;M'!D26</f>
        <v>10500627.66</v>
      </c>
      <c r="F20" s="121">
        <f t="shared" si="1"/>
        <v>10996357.64</v>
      </c>
    </row>
    <row r="21" spans="1:6" ht="12.75">
      <c r="A21" s="14">
        <f t="shared" si="0"/>
        <v>9</v>
      </c>
      <c r="B21" s="20" t="s">
        <v>14</v>
      </c>
      <c r="C21" s="20"/>
      <c r="D21" s="122">
        <f>SUM(D15:D20)</f>
        <v>1168227.54</v>
      </c>
      <c r="E21" s="122">
        <f>SUM(E15:E20)</f>
        <v>46755899.04000001</v>
      </c>
      <c r="F21" s="122">
        <f>SUM(F15:F20)</f>
        <v>47924126.58</v>
      </c>
    </row>
    <row r="22" spans="1:6" ht="12.75">
      <c r="A22" s="14">
        <f t="shared" si="0"/>
        <v>10</v>
      </c>
      <c r="B22" s="13"/>
      <c r="C22" s="13"/>
      <c r="D22" s="123"/>
      <c r="E22" s="123"/>
      <c r="F22" s="123"/>
    </row>
    <row r="23" spans="1:6" ht="12.75">
      <c r="A23" s="14">
        <f t="shared" si="0"/>
        <v>11</v>
      </c>
      <c r="B23" s="13" t="s">
        <v>102</v>
      </c>
      <c r="C23" s="13"/>
      <c r="D23" s="124">
        <f>D21/6</f>
        <v>194704.59</v>
      </c>
      <c r="E23" s="124">
        <f>E21/6</f>
        <v>7792649.840000001</v>
      </c>
      <c r="F23" s="118">
        <f>+F21/6</f>
        <v>7987354.43</v>
      </c>
    </row>
    <row r="24" spans="1:6" ht="12.75">
      <c r="A24" s="14">
        <f t="shared" si="0"/>
        <v>12</v>
      </c>
      <c r="B24" s="13"/>
      <c r="C24" s="13"/>
      <c r="D24" s="123"/>
      <c r="E24" s="123"/>
      <c r="F24" s="123"/>
    </row>
    <row r="25" spans="1:6" ht="12.75">
      <c r="A25" s="14">
        <f t="shared" si="0"/>
        <v>13</v>
      </c>
      <c r="B25" s="24" t="s">
        <v>31</v>
      </c>
      <c r="C25" s="24"/>
      <c r="D25" s="125"/>
      <c r="E25" s="125"/>
      <c r="F25" s="123"/>
    </row>
    <row r="26" spans="1:6" ht="12.75">
      <c r="A26" s="14">
        <f t="shared" si="0"/>
        <v>14</v>
      </c>
      <c r="B26" s="109" t="s">
        <v>23</v>
      </c>
      <c r="C26" s="109"/>
      <c r="D26" s="126">
        <f>D20</f>
        <v>495729.98</v>
      </c>
      <c r="E26" s="126">
        <f>E20</f>
        <v>10500627.66</v>
      </c>
      <c r="F26" s="120">
        <f>F20</f>
        <v>10996357.64</v>
      </c>
    </row>
    <row r="27" spans="1:6" ht="12.75">
      <c r="A27" s="14">
        <f t="shared" si="0"/>
        <v>15</v>
      </c>
      <c r="B27" s="13"/>
      <c r="C27" s="13"/>
      <c r="D27" s="123"/>
      <c r="E27" s="123"/>
      <c r="F27" s="123"/>
    </row>
    <row r="28" spans="1:6" ht="12.75">
      <c r="A28" s="14">
        <f t="shared" si="0"/>
        <v>16</v>
      </c>
      <c r="B28" s="21" t="s">
        <v>21</v>
      </c>
      <c r="C28" s="21"/>
      <c r="D28" s="118">
        <f>D23-D26</f>
        <v>-301025.39</v>
      </c>
      <c r="E28" s="118">
        <f>E23-E26</f>
        <v>-2707977.8199999994</v>
      </c>
      <c r="F28" s="118">
        <f>F23-F26</f>
        <v>-3009003.210000001</v>
      </c>
    </row>
    <row r="29" spans="1:6" ht="12.75">
      <c r="A29" s="14">
        <f t="shared" si="0"/>
        <v>17</v>
      </c>
      <c r="B29" s="13"/>
      <c r="C29" s="13"/>
      <c r="D29" s="123"/>
      <c r="E29" s="123"/>
      <c r="F29" s="123"/>
    </row>
    <row r="30" spans="1:6" ht="12.75">
      <c r="A30" s="14">
        <f t="shared" si="0"/>
        <v>18</v>
      </c>
      <c r="B30" s="13"/>
      <c r="C30" s="13"/>
      <c r="D30" s="123"/>
      <c r="E30" s="123"/>
      <c r="F30" s="123"/>
    </row>
    <row r="31" spans="1:6" ht="12.75">
      <c r="A31" s="14">
        <f t="shared" si="0"/>
        <v>19</v>
      </c>
      <c r="B31" s="25" t="s">
        <v>15</v>
      </c>
      <c r="C31" s="25"/>
      <c r="D31" s="127"/>
      <c r="E31" s="127"/>
      <c r="F31" s="127"/>
    </row>
    <row r="32" spans="1:6" ht="12.75">
      <c r="A32" s="14">
        <f t="shared" si="0"/>
        <v>20</v>
      </c>
      <c r="B32" s="110" t="s">
        <v>103</v>
      </c>
      <c r="C32" s="110"/>
      <c r="D32" s="128"/>
      <c r="E32" s="128"/>
      <c r="F32" s="123"/>
    </row>
    <row r="33" spans="1:7" ht="12.75">
      <c r="A33" s="14">
        <f t="shared" si="0"/>
        <v>21</v>
      </c>
      <c r="B33" s="111" t="s">
        <v>104</v>
      </c>
      <c r="C33" s="123"/>
      <c r="D33" s="123"/>
      <c r="E33" s="118"/>
      <c r="F33" s="129"/>
      <c r="G33" s="115"/>
    </row>
    <row r="34" spans="1:7" ht="12.75">
      <c r="A34" s="14">
        <f t="shared" si="0"/>
        <v>22</v>
      </c>
      <c r="B34" s="112" t="s">
        <v>105</v>
      </c>
      <c r="C34" s="131">
        <f>'Catastrophic Storms'!P8</f>
        <v>3313915.7</v>
      </c>
      <c r="D34" s="123"/>
      <c r="E34" s="118"/>
      <c r="F34" s="129"/>
      <c r="G34" s="115"/>
    </row>
    <row r="35" spans="1:7" ht="12.75">
      <c r="A35" s="14">
        <f t="shared" si="0"/>
        <v>23</v>
      </c>
      <c r="B35" s="112" t="s">
        <v>106</v>
      </c>
      <c r="C35" s="131">
        <f>'Catastrophic Storms'!P10</f>
        <v>24436289.11</v>
      </c>
      <c r="D35" s="123"/>
      <c r="E35" s="118"/>
      <c r="F35" s="129"/>
      <c r="G35" s="115"/>
    </row>
    <row r="36" spans="1:7" ht="12.75">
      <c r="A36" s="14">
        <f t="shared" si="0"/>
        <v>24</v>
      </c>
      <c r="B36" s="112" t="s">
        <v>107</v>
      </c>
      <c r="C36" s="136">
        <f>'Catastrophic Storms'!P14</f>
        <v>781319.83</v>
      </c>
      <c r="D36" s="123"/>
      <c r="E36" s="118"/>
      <c r="F36" s="129"/>
      <c r="G36" s="115"/>
    </row>
    <row r="37" spans="1:7" ht="12.75">
      <c r="A37" s="14">
        <f t="shared" si="0"/>
        <v>25</v>
      </c>
      <c r="B37" s="111" t="s">
        <v>115</v>
      </c>
      <c r="C37" s="123">
        <f>SUM(C34:C36)</f>
        <v>28531524.639999997</v>
      </c>
      <c r="D37" s="123"/>
      <c r="E37" s="118"/>
      <c r="F37" s="129"/>
      <c r="G37" s="115"/>
    </row>
    <row r="38" spans="1:7" ht="12.75">
      <c r="A38" s="14">
        <f t="shared" si="0"/>
        <v>26</v>
      </c>
      <c r="B38" s="111" t="s">
        <v>108</v>
      </c>
      <c r="C38" s="123"/>
      <c r="D38" s="123">
        <f>C37/3</f>
        <v>9510508.213333333</v>
      </c>
      <c r="E38" s="118"/>
      <c r="F38" s="129"/>
      <c r="G38" s="115"/>
    </row>
    <row r="39" spans="1:7" ht="12.75">
      <c r="A39" s="14">
        <f t="shared" si="0"/>
        <v>27</v>
      </c>
      <c r="B39" s="111"/>
      <c r="C39" s="123"/>
      <c r="D39" s="123"/>
      <c r="E39" s="118"/>
      <c r="F39" s="129"/>
      <c r="G39" s="115"/>
    </row>
    <row r="40" spans="1:7" ht="12.75">
      <c r="A40" s="14">
        <f t="shared" si="0"/>
        <v>28</v>
      </c>
      <c r="B40" s="110" t="s">
        <v>109</v>
      </c>
      <c r="C40" s="128"/>
      <c r="D40" s="123"/>
      <c r="E40" s="118"/>
      <c r="F40" s="129"/>
      <c r="G40" s="115"/>
    </row>
    <row r="41" spans="1:7" ht="12.75">
      <c r="A41" s="14">
        <f t="shared" si="0"/>
        <v>29</v>
      </c>
      <c r="B41" s="111" t="s">
        <v>104</v>
      </c>
      <c r="C41" s="123"/>
      <c r="D41" s="123"/>
      <c r="E41" s="118"/>
      <c r="F41" s="129"/>
      <c r="G41" s="115"/>
    </row>
    <row r="42" spans="1:7" ht="13.5">
      <c r="A42" s="14">
        <f t="shared" si="0"/>
        <v>30</v>
      </c>
      <c r="B42" s="112" t="s">
        <v>110</v>
      </c>
      <c r="C42" s="147">
        <f>'Catastrophic Storms'!P12</f>
        <v>79849845.505136</v>
      </c>
      <c r="D42" s="123"/>
      <c r="E42" s="118"/>
      <c r="F42" s="129"/>
      <c r="G42" s="115"/>
    </row>
    <row r="43" spans="1:7" ht="13.5">
      <c r="A43" s="14">
        <f t="shared" si="0"/>
        <v>31</v>
      </c>
      <c r="B43" s="111" t="s">
        <v>116</v>
      </c>
      <c r="C43" s="313">
        <f>C42</f>
        <v>79849845.505136</v>
      </c>
      <c r="D43" s="123"/>
      <c r="E43" s="118"/>
      <c r="F43" s="129"/>
      <c r="G43" s="115"/>
    </row>
    <row r="44" spans="1:7" ht="13.5">
      <c r="A44" s="14">
        <f t="shared" si="0"/>
        <v>32</v>
      </c>
      <c r="B44" s="111" t="s">
        <v>111</v>
      </c>
      <c r="C44" s="123"/>
      <c r="D44" s="314">
        <f>C43/6</f>
        <v>13308307.584189333</v>
      </c>
      <c r="E44" s="118"/>
      <c r="F44" s="129"/>
      <c r="G44" s="115"/>
    </row>
    <row r="45" spans="1:7" ht="12.75">
      <c r="A45" s="14">
        <f t="shared" si="0"/>
        <v>33</v>
      </c>
      <c r="B45" s="111" t="s">
        <v>117</v>
      </c>
      <c r="C45" s="123"/>
      <c r="D45" s="123"/>
      <c r="E45" s="315">
        <f>D38+D44</f>
        <v>22818815.797522664</v>
      </c>
      <c r="F45" s="129"/>
      <c r="G45" s="115"/>
    </row>
    <row r="46" spans="1:7" ht="12.75">
      <c r="A46" s="14">
        <f t="shared" si="0"/>
        <v>34</v>
      </c>
      <c r="B46" s="111" t="s">
        <v>38</v>
      </c>
      <c r="C46" s="123"/>
      <c r="D46" s="123"/>
      <c r="E46" s="120">
        <f>'Storm Amortization'!I17</f>
        <v>3843257.48</v>
      </c>
      <c r="F46" s="129"/>
      <c r="G46" s="115"/>
    </row>
    <row r="47" spans="1:7" ht="12.75">
      <c r="A47" s="14">
        <f t="shared" si="0"/>
        <v>35</v>
      </c>
      <c r="B47" s="111"/>
      <c r="C47" s="123"/>
      <c r="D47" s="123"/>
      <c r="E47" s="118"/>
      <c r="F47" s="129"/>
      <c r="G47" s="115"/>
    </row>
    <row r="48" spans="1:7" ht="13.5">
      <c r="A48" s="14">
        <f t="shared" si="0"/>
        <v>36</v>
      </c>
      <c r="B48" s="21" t="s">
        <v>112</v>
      </c>
      <c r="C48" s="132"/>
      <c r="D48" s="123"/>
      <c r="E48" s="118"/>
      <c r="F48" s="314">
        <f>D38+D44-E46</f>
        <v>18975558.317522664</v>
      </c>
      <c r="G48" s="115"/>
    </row>
    <row r="49" spans="1:7" ht="12.75">
      <c r="A49" s="14">
        <f t="shared" si="0"/>
        <v>37</v>
      </c>
      <c r="B49" s="111"/>
      <c r="C49" s="123"/>
      <c r="D49" s="123"/>
      <c r="E49" s="118"/>
      <c r="F49" s="118"/>
      <c r="G49" s="115"/>
    </row>
    <row r="50" spans="1:7" ht="13.5">
      <c r="A50" s="14">
        <f t="shared" si="0"/>
        <v>38</v>
      </c>
      <c r="B50" s="113" t="s">
        <v>113</v>
      </c>
      <c r="C50" s="125"/>
      <c r="D50" s="123"/>
      <c r="E50" s="118"/>
      <c r="F50" s="316">
        <f>F28+F48</f>
        <v>15966555.107522663</v>
      </c>
      <c r="G50" s="115"/>
    </row>
    <row r="51" spans="1:7" ht="13.5">
      <c r="A51" s="14">
        <f t="shared" si="0"/>
        <v>39</v>
      </c>
      <c r="B51" s="114"/>
      <c r="C51" s="133"/>
      <c r="D51" s="130"/>
      <c r="E51" s="130"/>
      <c r="F51" s="316"/>
      <c r="G51" s="115"/>
    </row>
    <row r="52" spans="1:7" ht="13.5">
      <c r="A52" s="14">
        <f t="shared" si="0"/>
        <v>40</v>
      </c>
      <c r="B52" s="114" t="s">
        <v>114</v>
      </c>
      <c r="C52" s="133"/>
      <c r="D52" s="123"/>
      <c r="E52" s="118"/>
      <c r="F52" s="314">
        <f>-F50*0.35</f>
        <v>-5588294.287632932</v>
      </c>
      <c r="G52" s="115"/>
    </row>
    <row r="53" spans="1:7" ht="13.5">
      <c r="A53" s="14">
        <f t="shared" si="0"/>
        <v>41</v>
      </c>
      <c r="B53" s="114"/>
      <c r="C53" s="133"/>
      <c r="D53" s="123"/>
      <c r="E53" s="118"/>
      <c r="F53" s="316"/>
      <c r="G53" s="115"/>
    </row>
    <row r="54" spans="1:7" ht="14.25" thickBot="1">
      <c r="A54" s="14">
        <f t="shared" si="0"/>
        <v>42</v>
      </c>
      <c r="B54" s="114" t="s">
        <v>16</v>
      </c>
      <c r="C54" s="133"/>
      <c r="D54" s="123"/>
      <c r="E54" s="118"/>
      <c r="F54" s="317">
        <f>-F50-F52</f>
        <v>-10378260.819889732</v>
      </c>
      <c r="G54" s="115"/>
    </row>
    <row r="55" spans="1:7" ht="13.5" thickTop="1">
      <c r="A55" s="14"/>
      <c r="B55" s="13"/>
      <c r="C55" s="123"/>
      <c r="D55" s="123"/>
      <c r="E55" s="118"/>
      <c r="F55" s="118"/>
      <c r="G55" s="115"/>
    </row>
    <row r="56" spans="1:7" ht="13.5">
      <c r="A56" s="148" t="s">
        <v>341</v>
      </c>
      <c r="B56" s="13"/>
      <c r="C56" s="123"/>
      <c r="D56" s="13"/>
      <c r="E56" s="116"/>
      <c r="F56" s="116"/>
      <c r="G56" s="115"/>
    </row>
    <row r="57" spans="1:6" ht="12.75">
      <c r="A57" s="13"/>
      <c r="B57" s="13"/>
      <c r="C57" s="123"/>
      <c r="D57" s="13"/>
      <c r="E57" s="13"/>
      <c r="F57" s="13"/>
    </row>
    <row r="58" spans="1:3" ht="12.75">
      <c r="A58" s="13"/>
      <c r="C58" s="134"/>
    </row>
    <row r="59" spans="1:3" ht="12.75">
      <c r="A59" s="13"/>
      <c r="C59" s="134"/>
    </row>
    <row r="60" spans="1:3" ht="12.75">
      <c r="A60" s="13"/>
      <c r="C60" s="134"/>
    </row>
    <row r="61" ht="12.75">
      <c r="C61" s="134"/>
    </row>
    <row r="62" ht="12.75">
      <c r="C62" s="134"/>
    </row>
  </sheetData>
  <sheetProtection/>
  <printOptions/>
  <pageMargins left="0.25" right="0.25" top="1" bottom="1" header="0.5" footer="0.5"/>
  <pageSetup horizontalDpi="600" verticalDpi="600" orientation="portrait" scale="85" r:id="rId1"/>
  <ignoredErrors>
    <ignoredError sqref="F15:F20 D26:E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3.140625" style="0" customWidth="1"/>
    <col min="2" max="2" width="12.7109375" style="0" customWidth="1"/>
    <col min="3" max="5" width="15.7109375" style="0" customWidth="1"/>
    <col min="6" max="6" width="9.8515625" style="0" bestFit="1" customWidth="1"/>
  </cols>
  <sheetData>
    <row r="2" ht="12.75">
      <c r="A2" s="2" t="s">
        <v>0</v>
      </c>
    </row>
    <row r="3" ht="12.75">
      <c r="A3" s="2" t="s">
        <v>2</v>
      </c>
    </row>
    <row r="4" ht="12.75">
      <c r="A4" s="2" t="s">
        <v>24</v>
      </c>
    </row>
    <row r="5" ht="13.5" thickBot="1"/>
    <row r="6" spans="2:5" ht="24.75" customHeight="1" thickBot="1">
      <c r="B6" s="29" t="s">
        <v>101</v>
      </c>
      <c r="C6" s="29" t="s">
        <v>3</v>
      </c>
      <c r="D6" s="29" t="s">
        <v>10</v>
      </c>
      <c r="E6" s="29" t="s">
        <v>1</v>
      </c>
    </row>
    <row r="7" ht="4.5" customHeight="1" thickTop="1"/>
    <row r="8" spans="1:5" ht="12.75">
      <c r="A8" s="43" t="s">
        <v>29</v>
      </c>
      <c r="B8" s="37">
        <v>37226</v>
      </c>
      <c r="C8" s="30">
        <v>-5531.38</v>
      </c>
      <c r="D8" s="30">
        <v>5017072.83</v>
      </c>
      <c r="E8" s="30">
        <f aca="true" t="shared" si="0" ref="E8:E19">C8+D8</f>
        <v>5011541.45</v>
      </c>
    </row>
    <row r="9" spans="1:5" ht="12.75">
      <c r="A9" s="32" t="s">
        <v>30</v>
      </c>
      <c r="B9" s="38">
        <v>37500</v>
      </c>
      <c r="C9" s="31">
        <v>636.97</v>
      </c>
      <c r="D9" s="31">
        <v>1566241.8</v>
      </c>
      <c r="E9" s="31">
        <f t="shared" si="0"/>
        <v>1566878.77</v>
      </c>
    </row>
    <row r="10" spans="1:5" ht="12.75">
      <c r="A10" s="32" t="s">
        <v>29</v>
      </c>
      <c r="B10" s="38">
        <v>37621</v>
      </c>
      <c r="C10" s="31">
        <v>2427.43</v>
      </c>
      <c r="D10" s="31">
        <v>3388992.33</v>
      </c>
      <c r="E10" s="31">
        <f t="shared" si="0"/>
        <v>3391419.7600000002</v>
      </c>
    </row>
    <row r="11" spans="1:5" ht="12.75">
      <c r="A11" s="32" t="s">
        <v>30</v>
      </c>
      <c r="B11" s="38">
        <v>37867</v>
      </c>
      <c r="C11" s="31">
        <v>4187.34</v>
      </c>
      <c r="D11" s="31">
        <v>1936804.79</v>
      </c>
      <c r="E11" s="31">
        <f t="shared" si="0"/>
        <v>1940992.1300000001</v>
      </c>
    </row>
    <row r="12" spans="1:5" ht="12.75">
      <c r="A12" s="32" t="s">
        <v>29</v>
      </c>
      <c r="B12" s="38">
        <v>37986</v>
      </c>
      <c r="C12" s="31">
        <v>242952.91</v>
      </c>
      <c r="D12" s="31">
        <v>3721234.86</v>
      </c>
      <c r="E12" s="31">
        <f t="shared" si="0"/>
        <v>3964187.77</v>
      </c>
    </row>
    <row r="13" spans="1:5" ht="12.75">
      <c r="A13" s="32" t="s">
        <v>30</v>
      </c>
      <c r="B13" s="38">
        <v>38233</v>
      </c>
      <c r="C13" s="31">
        <v>-40755.81</v>
      </c>
      <c r="D13" s="31">
        <v>8340902.68</v>
      </c>
      <c r="E13" s="31">
        <f t="shared" si="0"/>
        <v>8300146.87</v>
      </c>
    </row>
    <row r="14" spans="1:5" ht="12.75">
      <c r="A14" s="32" t="s">
        <v>29</v>
      </c>
      <c r="B14" s="38">
        <v>38352</v>
      </c>
      <c r="C14" s="31">
        <v>29437.12</v>
      </c>
      <c r="D14" s="31">
        <v>793068.66</v>
      </c>
      <c r="E14" s="31">
        <f t="shared" si="0"/>
        <v>822505.78</v>
      </c>
    </row>
    <row r="15" spans="1:5" ht="12.75">
      <c r="A15" s="32" t="s">
        <v>30</v>
      </c>
      <c r="B15" s="38">
        <v>38598</v>
      </c>
      <c r="C15" s="31">
        <v>21428.96</v>
      </c>
      <c r="D15" s="31">
        <v>1154068.78</v>
      </c>
      <c r="E15" s="31">
        <f t="shared" si="0"/>
        <v>1175497.74</v>
      </c>
    </row>
    <row r="16" spans="1:5" ht="12.75">
      <c r="A16" s="32" t="s">
        <v>29</v>
      </c>
      <c r="B16" s="38">
        <v>38717</v>
      </c>
      <c r="C16" s="31">
        <v>101038.71</v>
      </c>
      <c r="D16" s="31">
        <v>2295386.73</v>
      </c>
      <c r="E16" s="31">
        <f t="shared" si="0"/>
        <v>2396425.44</v>
      </c>
    </row>
    <row r="17" spans="1:5" ht="12.75">
      <c r="A17" s="32" t="s">
        <v>30</v>
      </c>
      <c r="B17" s="38">
        <v>38990</v>
      </c>
      <c r="C17" s="31">
        <v>316675.31</v>
      </c>
      <c r="D17" s="31">
        <v>8041497.92</v>
      </c>
      <c r="E17" s="31">
        <f t="shared" si="0"/>
        <v>8358173.2299999995</v>
      </c>
    </row>
    <row r="18" spans="1:5" ht="12.75">
      <c r="A18" s="32" t="s">
        <v>29</v>
      </c>
      <c r="B18" s="38">
        <v>39082</v>
      </c>
      <c r="C18" s="31">
        <v>134072.61</v>
      </c>
      <c r="D18" s="31">
        <v>2394223.31</v>
      </c>
      <c r="E18" s="31">
        <f t="shared" si="0"/>
        <v>2528295.92</v>
      </c>
    </row>
    <row r="19" spans="1:5" ht="12.75">
      <c r="A19" s="105" t="s">
        <v>30</v>
      </c>
      <c r="B19" s="106">
        <v>39355</v>
      </c>
      <c r="C19" s="107">
        <v>361657.37</v>
      </c>
      <c r="D19" s="107">
        <v>8106404.35</v>
      </c>
      <c r="E19" s="107">
        <f t="shared" si="0"/>
        <v>8468061.719999999</v>
      </c>
    </row>
    <row r="20" spans="1:5" ht="12.75">
      <c r="A20" s="44"/>
      <c r="B20" s="44"/>
      <c r="C20" s="44"/>
      <c r="D20" s="44"/>
      <c r="E20" s="44"/>
    </row>
    <row r="21" spans="1:6" ht="12.75">
      <c r="A21" s="33" t="s">
        <v>28</v>
      </c>
      <c r="B21" s="38">
        <v>37500</v>
      </c>
      <c r="C21" s="31">
        <f>C8+C9</f>
        <v>-4894.41</v>
      </c>
      <c r="D21" s="31">
        <f>D8+D9</f>
        <v>6583314.63</v>
      </c>
      <c r="E21" s="31">
        <f aca="true" t="shared" si="1" ref="E21:E26">SUM(C21:D21)</f>
        <v>6578420.22</v>
      </c>
      <c r="F21" s="22"/>
    </row>
    <row r="22" spans="1:6" ht="12.75">
      <c r="A22" s="33" t="s">
        <v>28</v>
      </c>
      <c r="B22" s="38">
        <v>37867</v>
      </c>
      <c r="C22" s="31">
        <f>C11+C10</f>
        <v>6614.77</v>
      </c>
      <c r="D22" s="31">
        <f>D11+D10</f>
        <v>5325797.12</v>
      </c>
      <c r="E22" s="31">
        <f t="shared" si="1"/>
        <v>5332411.89</v>
      </c>
      <c r="F22" s="22"/>
    </row>
    <row r="23" spans="1:6" ht="12.75">
      <c r="A23" s="33" t="s">
        <v>28</v>
      </c>
      <c r="B23" s="38">
        <v>38233</v>
      </c>
      <c r="C23" s="31">
        <f>C13+C12</f>
        <v>202197.1</v>
      </c>
      <c r="D23" s="31">
        <f>D13+D12</f>
        <v>12062137.54</v>
      </c>
      <c r="E23" s="31">
        <f t="shared" si="1"/>
        <v>12264334.639999999</v>
      </c>
      <c r="F23" s="22"/>
    </row>
    <row r="24" spans="1:6" ht="12.75">
      <c r="A24" s="33" t="s">
        <v>28</v>
      </c>
      <c r="B24" s="38">
        <v>38598</v>
      </c>
      <c r="C24" s="31">
        <f>C15+C14</f>
        <v>50866.08</v>
      </c>
      <c r="D24" s="31">
        <f>D15+D14</f>
        <v>1947137.44</v>
      </c>
      <c r="E24" s="31">
        <f t="shared" si="1"/>
        <v>1998003.52</v>
      </c>
      <c r="F24" s="22"/>
    </row>
    <row r="25" spans="1:6" ht="12.75">
      <c r="A25" s="33" t="s">
        <v>28</v>
      </c>
      <c r="B25" s="38">
        <v>38990</v>
      </c>
      <c r="C25" s="31">
        <f>C17+C16</f>
        <v>417714.02</v>
      </c>
      <c r="D25" s="31">
        <f>D17+D16</f>
        <v>10336884.65</v>
      </c>
      <c r="E25" s="31">
        <f t="shared" si="1"/>
        <v>10754598.67</v>
      </c>
      <c r="F25" s="22"/>
    </row>
    <row r="26" spans="1:6" ht="12.75">
      <c r="A26" s="108" t="s">
        <v>28</v>
      </c>
      <c r="B26" s="106">
        <v>39355</v>
      </c>
      <c r="C26" s="107">
        <f>C19+C18</f>
        <v>495729.98</v>
      </c>
      <c r="D26" s="107">
        <f>D19+D18</f>
        <v>10500627.66</v>
      </c>
      <c r="E26" s="107">
        <f t="shared" si="1"/>
        <v>10996357.64</v>
      </c>
      <c r="F26" s="22"/>
    </row>
    <row r="27" ht="4.5" customHeight="1"/>
    <row r="28" spans="1:5" ht="12.75">
      <c r="A28" s="34" t="s">
        <v>57</v>
      </c>
      <c r="B28" s="35"/>
      <c r="C28" s="39">
        <f>SUM(C21:C26)</f>
        <v>1168227.54</v>
      </c>
      <c r="D28" s="39">
        <f>SUM(D21:D26)</f>
        <v>46755899.04000001</v>
      </c>
      <c r="E28" s="40">
        <f>SUM(E21:E26)</f>
        <v>47924126.58</v>
      </c>
    </row>
    <row r="29" spans="1:5" ht="12.75">
      <c r="A29" s="36" t="s">
        <v>58</v>
      </c>
      <c r="B29" s="3"/>
      <c r="C29" s="41">
        <f>AVERAGE(C21:C26)</f>
        <v>194704.59</v>
      </c>
      <c r="D29" s="41">
        <f>AVERAGE(D21:D26)</f>
        <v>7792649.840000001</v>
      </c>
      <c r="E29" s="42">
        <f>AVERAGE(E21:E26)</f>
        <v>7987354.43</v>
      </c>
    </row>
  </sheetData>
  <sheetProtection/>
  <printOptions/>
  <pageMargins left="0.46" right="0.48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.7109375" style="27" customWidth="1"/>
    <col min="2" max="3" width="15.7109375" style="27" customWidth="1"/>
    <col min="4" max="4" width="25.7109375" style="27" customWidth="1"/>
    <col min="5" max="5" width="35.7109375" style="27" customWidth="1"/>
    <col min="6" max="6" width="15.7109375" style="27" customWidth="1"/>
    <col min="7" max="7" width="25.7109375" style="27" customWidth="1"/>
    <col min="8" max="8" width="10.7109375" style="27" customWidth="1"/>
    <col min="9" max="10" width="15.7109375" style="27" customWidth="1"/>
    <col min="11" max="16384" width="9.140625" style="27" customWidth="1"/>
  </cols>
  <sheetData>
    <row r="1" ht="13.5" thickBot="1"/>
    <row r="2" spans="2:10" ht="24.75" customHeight="1" thickBot="1">
      <c r="B2" s="61" t="s">
        <v>39</v>
      </c>
      <c r="C2" s="61" t="s">
        <v>40</v>
      </c>
      <c r="D2" s="61" t="s">
        <v>41</v>
      </c>
      <c r="E2" s="61" t="s">
        <v>42</v>
      </c>
      <c r="F2" s="61" t="s">
        <v>43</v>
      </c>
      <c r="G2" s="61" t="s">
        <v>44</v>
      </c>
      <c r="H2" s="61" t="s">
        <v>45</v>
      </c>
      <c r="I2" s="61" t="s">
        <v>46</v>
      </c>
      <c r="J2" s="61" t="s">
        <v>47</v>
      </c>
    </row>
    <row r="3" spans="2:10" ht="13.5" thickTop="1">
      <c r="B3" s="62" t="s">
        <v>48</v>
      </c>
      <c r="C3" s="62" t="s">
        <v>49</v>
      </c>
      <c r="D3" s="63" t="s">
        <v>50</v>
      </c>
      <c r="E3" s="63" t="s">
        <v>51</v>
      </c>
      <c r="F3" s="63" t="s">
        <v>52</v>
      </c>
      <c r="G3" s="63" t="s">
        <v>53</v>
      </c>
      <c r="H3" s="62" t="s">
        <v>54</v>
      </c>
      <c r="I3" s="68">
        <v>513814</v>
      </c>
      <c r="J3" s="64">
        <v>39015</v>
      </c>
    </row>
    <row r="4" spans="2:10" ht="12.75">
      <c r="B4" s="65" t="s">
        <v>48</v>
      </c>
      <c r="C4" s="65" t="s">
        <v>49</v>
      </c>
      <c r="D4" s="66" t="s">
        <v>50</v>
      </c>
      <c r="E4" s="66" t="s">
        <v>51</v>
      </c>
      <c r="F4" s="66" t="s">
        <v>52</v>
      </c>
      <c r="G4" s="66" t="s">
        <v>53</v>
      </c>
      <c r="H4" s="65" t="s">
        <v>54</v>
      </c>
      <c r="I4" s="28">
        <v>513814</v>
      </c>
      <c r="J4" s="67">
        <v>39046</v>
      </c>
    </row>
    <row r="5" spans="2:10" ht="12.75">
      <c r="B5" s="65" t="s">
        <v>48</v>
      </c>
      <c r="C5" s="65" t="s">
        <v>49</v>
      </c>
      <c r="D5" s="66" t="s">
        <v>50</v>
      </c>
      <c r="E5" s="66" t="s">
        <v>51</v>
      </c>
      <c r="F5" s="66" t="s">
        <v>52</v>
      </c>
      <c r="G5" s="66" t="s">
        <v>53</v>
      </c>
      <c r="H5" s="65" t="s">
        <v>54</v>
      </c>
      <c r="I5" s="28">
        <v>513814</v>
      </c>
      <c r="J5" s="67">
        <v>39076</v>
      </c>
    </row>
    <row r="6" spans="2:10" ht="12.75">
      <c r="B6" s="65" t="s">
        <v>48</v>
      </c>
      <c r="C6" s="65" t="s">
        <v>49</v>
      </c>
      <c r="D6" s="66" t="s">
        <v>50</v>
      </c>
      <c r="E6" s="66" t="s">
        <v>51</v>
      </c>
      <c r="F6" s="66" t="s">
        <v>52</v>
      </c>
      <c r="G6" s="66" t="s">
        <v>53</v>
      </c>
      <c r="H6" s="65" t="s">
        <v>55</v>
      </c>
      <c r="I6" s="28">
        <v>-513814</v>
      </c>
      <c r="J6" s="67">
        <v>39107</v>
      </c>
    </row>
    <row r="7" spans="2:10" ht="12.75">
      <c r="B7" s="65" t="s">
        <v>48</v>
      </c>
      <c r="C7" s="65" t="s">
        <v>49</v>
      </c>
      <c r="D7" s="66" t="s">
        <v>50</v>
      </c>
      <c r="E7" s="66" t="s">
        <v>51</v>
      </c>
      <c r="F7" s="66" t="s">
        <v>52</v>
      </c>
      <c r="G7" s="66" t="s">
        <v>53</v>
      </c>
      <c r="H7" s="65" t="s">
        <v>54</v>
      </c>
      <c r="I7" s="28">
        <v>513814</v>
      </c>
      <c r="J7" s="67">
        <v>39107</v>
      </c>
    </row>
    <row r="8" spans="2:10" ht="12.75">
      <c r="B8" s="65" t="s">
        <v>48</v>
      </c>
      <c r="C8" s="65" t="s">
        <v>49</v>
      </c>
      <c r="D8" s="66" t="s">
        <v>50</v>
      </c>
      <c r="E8" s="66" t="s">
        <v>56</v>
      </c>
      <c r="F8" s="66" t="s">
        <v>52</v>
      </c>
      <c r="G8" s="66" t="s">
        <v>53</v>
      </c>
      <c r="H8" s="65" t="s">
        <v>54</v>
      </c>
      <c r="I8" s="28">
        <v>348517.48</v>
      </c>
      <c r="J8" s="67">
        <v>39113</v>
      </c>
    </row>
    <row r="9" spans="2:10" ht="12.75">
      <c r="B9" s="65" t="s">
        <v>48</v>
      </c>
      <c r="C9" s="65" t="s">
        <v>49</v>
      </c>
      <c r="D9" s="66" t="s">
        <v>50</v>
      </c>
      <c r="E9" s="66" t="s">
        <v>51</v>
      </c>
      <c r="F9" s="66" t="s">
        <v>52</v>
      </c>
      <c r="G9" s="66" t="s">
        <v>53</v>
      </c>
      <c r="H9" s="65" t="s">
        <v>54</v>
      </c>
      <c r="I9" s="28">
        <v>244162.25</v>
      </c>
      <c r="J9" s="67">
        <v>39138</v>
      </c>
    </row>
    <row r="10" spans="2:10" ht="12.75">
      <c r="B10" s="65" t="s">
        <v>48</v>
      </c>
      <c r="C10" s="65" t="s">
        <v>49</v>
      </c>
      <c r="D10" s="66" t="s">
        <v>50</v>
      </c>
      <c r="E10" s="66" t="s">
        <v>51</v>
      </c>
      <c r="F10" s="66" t="s">
        <v>52</v>
      </c>
      <c r="G10" s="66" t="s">
        <v>53</v>
      </c>
      <c r="H10" s="65" t="s">
        <v>54</v>
      </c>
      <c r="I10" s="28">
        <v>244162.25</v>
      </c>
      <c r="J10" s="67">
        <v>39166</v>
      </c>
    </row>
    <row r="11" spans="2:10" ht="12.75">
      <c r="B11" s="65" t="s">
        <v>48</v>
      </c>
      <c r="C11" s="65" t="s">
        <v>49</v>
      </c>
      <c r="D11" s="66" t="s">
        <v>50</v>
      </c>
      <c r="E11" s="66" t="s">
        <v>51</v>
      </c>
      <c r="F11" s="66" t="s">
        <v>52</v>
      </c>
      <c r="G11" s="66" t="s">
        <v>53</v>
      </c>
      <c r="H11" s="65" t="s">
        <v>54</v>
      </c>
      <c r="I11" s="28">
        <v>244162.25</v>
      </c>
      <c r="J11" s="67">
        <v>39197</v>
      </c>
    </row>
    <row r="12" spans="2:10" ht="12.75">
      <c r="B12" s="65" t="s">
        <v>48</v>
      </c>
      <c r="C12" s="65" t="s">
        <v>49</v>
      </c>
      <c r="D12" s="66" t="s">
        <v>50</v>
      </c>
      <c r="E12" s="66" t="s">
        <v>51</v>
      </c>
      <c r="F12" s="66" t="s">
        <v>52</v>
      </c>
      <c r="G12" s="66" t="s">
        <v>53</v>
      </c>
      <c r="H12" s="65" t="s">
        <v>54</v>
      </c>
      <c r="I12" s="28">
        <v>244162.25</v>
      </c>
      <c r="J12" s="67">
        <v>39227</v>
      </c>
    </row>
    <row r="13" spans="2:10" ht="12.75">
      <c r="B13" s="65" t="s">
        <v>48</v>
      </c>
      <c r="C13" s="65" t="s">
        <v>49</v>
      </c>
      <c r="D13" s="66" t="s">
        <v>50</v>
      </c>
      <c r="E13" s="66" t="s">
        <v>51</v>
      </c>
      <c r="F13" s="66" t="s">
        <v>52</v>
      </c>
      <c r="G13" s="66" t="s">
        <v>53</v>
      </c>
      <c r="H13" s="65" t="s">
        <v>54</v>
      </c>
      <c r="I13" s="28">
        <v>244162.25</v>
      </c>
      <c r="J13" s="67">
        <v>39258</v>
      </c>
    </row>
    <row r="14" spans="2:10" ht="12.75">
      <c r="B14" s="65" t="s">
        <v>48</v>
      </c>
      <c r="C14" s="65" t="s">
        <v>49</v>
      </c>
      <c r="D14" s="66" t="s">
        <v>50</v>
      </c>
      <c r="E14" s="66" t="s">
        <v>51</v>
      </c>
      <c r="F14" s="66" t="s">
        <v>52</v>
      </c>
      <c r="G14" s="66" t="s">
        <v>53</v>
      </c>
      <c r="H14" s="65" t="s">
        <v>54</v>
      </c>
      <c r="I14" s="28">
        <v>244162.25</v>
      </c>
      <c r="J14" s="67">
        <v>39288</v>
      </c>
    </row>
    <row r="15" spans="2:10" ht="12.75">
      <c r="B15" s="65" t="s">
        <v>48</v>
      </c>
      <c r="C15" s="65" t="s">
        <v>49</v>
      </c>
      <c r="D15" s="66" t="s">
        <v>50</v>
      </c>
      <c r="E15" s="66" t="s">
        <v>51</v>
      </c>
      <c r="F15" s="66" t="s">
        <v>52</v>
      </c>
      <c r="G15" s="66" t="s">
        <v>53</v>
      </c>
      <c r="H15" s="65" t="s">
        <v>54</v>
      </c>
      <c r="I15" s="28">
        <v>244162.25</v>
      </c>
      <c r="J15" s="67">
        <v>39319</v>
      </c>
    </row>
    <row r="16" spans="2:10" ht="12.75">
      <c r="B16" s="100" t="s">
        <v>48</v>
      </c>
      <c r="C16" s="100" t="s">
        <v>49</v>
      </c>
      <c r="D16" s="101" t="s">
        <v>50</v>
      </c>
      <c r="E16" s="101" t="s">
        <v>51</v>
      </c>
      <c r="F16" s="101" t="s">
        <v>52</v>
      </c>
      <c r="G16" s="101" t="s">
        <v>53</v>
      </c>
      <c r="H16" s="100" t="s">
        <v>54</v>
      </c>
      <c r="I16" s="102">
        <v>244162.25</v>
      </c>
      <c r="J16" s="103">
        <v>39351</v>
      </c>
    </row>
    <row r="17" ht="13.5" thickBot="1">
      <c r="I17" s="104">
        <f>SUM(I3:I16)</f>
        <v>3843257.48</v>
      </c>
    </row>
    <row r="18" ht="13.5" thickTop="1"/>
  </sheetData>
  <sheetProtection/>
  <printOptions/>
  <pageMargins left="0.2" right="0.21" top="1" bottom="1" header="0.5" footer="0.5"/>
  <pageSetup horizontalDpi="600" verticalDpi="600" orientation="landscape" scale="76" r:id="rId1"/>
  <ignoredErrors>
    <ignoredError sqref="B3:B16 C3:C16 F3:F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AD27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.7109375" style="0" customWidth="1"/>
    <col min="2" max="2" width="55.7109375" style="0" customWidth="1"/>
    <col min="3" max="6" width="14.7109375" style="45" customWidth="1"/>
    <col min="7" max="30" width="14.7109375" style="46" customWidth="1"/>
  </cols>
  <sheetData>
    <row r="2" ht="12.75">
      <c r="A2" s="23" t="s">
        <v>20</v>
      </c>
    </row>
    <row r="3" ht="13.5" thickBot="1"/>
    <row r="4" spans="3:30" ht="12.75">
      <c r="C4" s="47" t="s">
        <v>33</v>
      </c>
      <c r="D4" s="47" t="s">
        <v>33</v>
      </c>
      <c r="E4" s="47" t="s">
        <v>33</v>
      </c>
      <c r="F4" s="47" t="s">
        <v>33</v>
      </c>
      <c r="G4" s="47" t="s">
        <v>33</v>
      </c>
      <c r="H4" s="47" t="s">
        <v>33</v>
      </c>
      <c r="I4" s="47" t="s">
        <v>33</v>
      </c>
      <c r="J4" s="47" t="s">
        <v>33</v>
      </c>
      <c r="K4" s="47" t="s">
        <v>33</v>
      </c>
      <c r="L4" s="47" t="s">
        <v>33</v>
      </c>
      <c r="M4" s="47" t="s">
        <v>33</v>
      </c>
      <c r="N4" s="47" t="s">
        <v>33</v>
      </c>
      <c r="O4" s="47" t="s">
        <v>33</v>
      </c>
      <c r="P4" s="47" t="s">
        <v>33</v>
      </c>
      <c r="Q4" s="47" t="s">
        <v>33</v>
      </c>
      <c r="R4" s="47" t="s">
        <v>33</v>
      </c>
      <c r="S4" s="47" t="s">
        <v>33</v>
      </c>
      <c r="T4" s="47" t="s">
        <v>33</v>
      </c>
      <c r="U4" s="47" t="s">
        <v>33</v>
      </c>
      <c r="V4" s="47" t="s">
        <v>33</v>
      </c>
      <c r="W4" s="47" t="s">
        <v>33</v>
      </c>
      <c r="X4" s="47" t="s">
        <v>33</v>
      </c>
      <c r="Y4" s="47" t="s">
        <v>33</v>
      </c>
      <c r="Z4" s="47" t="s">
        <v>33</v>
      </c>
      <c r="AA4" s="47" t="s">
        <v>33</v>
      </c>
      <c r="AB4" s="47" t="s">
        <v>33</v>
      </c>
      <c r="AC4" s="47" t="s">
        <v>33</v>
      </c>
      <c r="AD4" s="47" t="s">
        <v>33</v>
      </c>
    </row>
    <row r="5" spans="3:30" ht="13.5" thickBot="1">
      <c r="C5" s="48">
        <v>39326</v>
      </c>
      <c r="D5" s="48">
        <v>39356</v>
      </c>
      <c r="E5" s="48">
        <v>39387</v>
      </c>
      <c r="F5" s="48">
        <v>39417</v>
      </c>
      <c r="G5" s="49">
        <v>39448</v>
      </c>
      <c r="H5" s="49">
        <v>39479</v>
      </c>
      <c r="I5" s="49">
        <v>39508</v>
      </c>
      <c r="J5" s="49">
        <v>39539</v>
      </c>
      <c r="K5" s="49">
        <v>39569</v>
      </c>
      <c r="L5" s="49">
        <v>39600</v>
      </c>
      <c r="M5" s="49">
        <v>39630</v>
      </c>
      <c r="N5" s="49">
        <v>39661</v>
      </c>
      <c r="O5" s="49">
        <v>39692</v>
      </c>
      <c r="P5" s="49">
        <v>39722</v>
      </c>
      <c r="Q5" s="49">
        <v>39753</v>
      </c>
      <c r="R5" s="49">
        <v>39783</v>
      </c>
      <c r="S5" s="49">
        <v>39814</v>
      </c>
      <c r="T5" s="49">
        <v>39845</v>
      </c>
      <c r="U5" s="49">
        <v>39873</v>
      </c>
      <c r="V5" s="49">
        <v>39904</v>
      </c>
      <c r="W5" s="49">
        <v>39934</v>
      </c>
      <c r="X5" s="49">
        <v>39965</v>
      </c>
      <c r="Y5" s="49">
        <v>39995</v>
      </c>
      <c r="Z5" s="49">
        <v>40026</v>
      </c>
      <c r="AA5" s="49">
        <v>40057</v>
      </c>
      <c r="AB5" s="49">
        <v>40087</v>
      </c>
      <c r="AC5" s="49">
        <v>40118</v>
      </c>
      <c r="AD5" s="49">
        <v>40148</v>
      </c>
    </row>
    <row r="6" spans="1:30" ht="13.5" thickTop="1">
      <c r="A6" s="47">
        <v>1</v>
      </c>
      <c r="B6" s="58" t="s">
        <v>36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</row>
    <row r="7" spans="1:30" ht="12.75">
      <c r="A7" s="56">
        <v>2</v>
      </c>
      <c r="B7" s="59"/>
      <c r="C7" s="50"/>
      <c r="D7" s="50"/>
      <c r="E7" s="50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2.75">
      <c r="A8" s="56">
        <v>3</v>
      </c>
      <c r="B8" s="59" t="s">
        <v>34</v>
      </c>
      <c r="C8" s="50">
        <v>6488024.95</v>
      </c>
      <c r="D8" s="50">
        <f>C8+C17</f>
        <v>6243862.7</v>
      </c>
      <c r="E8" s="50">
        <f aca="true" t="shared" si="0" ref="E8:AC8">D8+D17</f>
        <v>5999700.45</v>
      </c>
      <c r="F8" s="50">
        <f t="shared" si="0"/>
        <v>5755538.2</v>
      </c>
      <c r="G8" s="50">
        <f t="shared" si="0"/>
        <v>5511375.95</v>
      </c>
      <c r="H8" s="50">
        <f t="shared" si="0"/>
        <v>5267213.7</v>
      </c>
      <c r="I8" s="50">
        <f t="shared" si="0"/>
        <v>5023051.45</v>
      </c>
      <c r="J8" s="50">
        <f t="shared" si="0"/>
        <v>4778889.2</v>
      </c>
      <c r="K8" s="50">
        <f t="shared" si="0"/>
        <v>4534726.95</v>
      </c>
      <c r="L8" s="50">
        <f t="shared" si="0"/>
        <v>4290564.7</v>
      </c>
      <c r="M8" s="50">
        <f t="shared" si="0"/>
        <v>4046402.45</v>
      </c>
      <c r="N8" s="50">
        <f t="shared" si="0"/>
        <v>3802240.2</v>
      </c>
      <c r="O8" s="50">
        <f t="shared" si="0"/>
        <v>3558077.95</v>
      </c>
      <c r="P8" s="50">
        <f t="shared" si="0"/>
        <v>3313915.7</v>
      </c>
      <c r="Q8" s="50">
        <f t="shared" si="0"/>
        <v>3069753.45</v>
      </c>
      <c r="R8" s="50">
        <f t="shared" si="0"/>
        <v>2825591.2</v>
      </c>
      <c r="S8" s="50">
        <f t="shared" si="0"/>
        <v>2581428.95</v>
      </c>
      <c r="T8" s="50">
        <f t="shared" si="0"/>
        <v>2337266.7</v>
      </c>
      <c r="U8" s="50">
        <f t="shared" si="0"/>
        <v>2093104.4500000002</v>
      </c>
      <c r="V8" s="50">
        <f t="shared" si="0"/>
        <v>1848942.2000000002</v>
      </c>
      <c r="W8" s="50">
        <f t="shared" si="0"/>
        <v>1604779.9500000002</v>
      </c>
      <c r="X8" s="50">
        <f t="shared" si="0"/>
        <v>1360617.7000000002</v>
      </c>
      <c r="Y8" s="50">
        <f t="shared" si="0"/>
        <v>1116455.4500000002</v>
      </c>
      <c r="Z8" s="50">
        <f t="shared" si="0"/>
        <v>872293.2000000002</v>
      </c>
      <c r="AA8" s="50">
        <f t="shared" si="0"/>
        <v>628130.9500000002</v>
      </c>
      <c r="AB8" s="50">
        <f t="shared" si="0"/>
        <v>383968.7000000002</v>
      </c>
      <c r="AC8" s="50">
        <f t="shared" si="0"/>
        <v>139806.4500000002</v>
      </c>
      <c r="AD8" s="50">
        <v>0</v>
      </c>
    </row>
    <row r="9" spans="1:30" ht="12.75">
      <c r="A9" s="56">
        <v>4</v>
      </c>
      <c r="B9" s="59"/>
      <c r="C9" s="50"/>
      <c r="D9" s="50"/>
      <c r="E9" s="50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2.75">
      <c r="A10" s="56">
        <v>5</v>
      </c>
      <c r="B10" s="59" t="s">
        <v>100</v>
      </c>
      <c r="C10" s="50">
        <f>'18210201-2006 Storm'!X32-'18210201-2006 Storm'!X26</f>
        <v>24436289.11</v>
      </c>
      <c r="D10" s="50">
        <f>C10</f>
        <v>24436289.11</v>
      </c>
      <c r="E10" s="50">
        <f aca="true" t="shared" si="1" ref="E10:AC10">D10</f>
        <v>24436289.11</v>
      </c>
      <c r="F10" s="50">
        <f t="shared" si="1"/>
        <v>24436289.11</v>
      </c>
      <c r="G10" s="50">
        <f t="shared" si="1"/>
        <v>24436289.11</v>
      </c>
      <c r="H10" s="50">
        <f t="shared" si="1"/>
        <v>24436289.11</v>
      </c>
      <c r="I10" s="50">
        <f t="shared" si="1"/>
        <v>24436289.11</v>
      </c>
      <c r="J10" s="50">
        <f t="shared" si="1"/>
        <v>24436289.11</v>
      </c>
      <c r="K10" s="50">
        <f t="shared" si="1"/>
        <v>24436289.11</v>
      </c>
      <c r="L10" s="50">
        <f t="shared" si="1"/>
        <v>24436289.11</v>
      </c>
      <c r="M10" s="50">
        <f t="shared" si="1"/>
        <v>24436289.11</v>
      </c>
      <c r="N10" s="50">
        <f t="shared" si="1"/>
        <v>24436289.11</v>
      </c>
      <c r="O10" s="50">
        <f t="shared" si="1"/>
        <v>24436289.11</v>
      </c>
      <c r="P10" s="50">
        <f t="shared" si="1"/>
        <v>24436289.11</v>
      </c>
      <c r="Q10" s="50">
        <f t="shared" si="1"/>
        <v>24436289.11</v>
      </c>
      <c r="R10" s="50">
        <f t="shared" si="1"/>
        <v>24436289.11</v>
      </c>
      <c r="S10" s="50">
        <f t="shared" si="1"/>
        <v>24436289.11</v>
      </c>
      <c r="T10" s="50">
        <f t="shared" si="1"/>
        <v>24436289.11</v>
      </c>
      <c r="U10" s="50">
        <f t="shared" si="1"/>
        <v>24436289.11</v>
      </c>
      <c r="V10" s="50">
        <f t="shared" si="1"/>
        <v>24436289.11</v>
      </c>
      <c r="W10" s="50">
        <f t="shared" si="1"/>
        <v>24436289.11</v>
      </c>
      <c r="X10" s="50">
        <f t="shared" si="1"/>
        <v>24436289.11</v>
      </c>
      <c r="Y10" s="50">
        <f t="shared" si="1"/>
        <v>24436289.11</v>
      </c>
      <c r="Z10" s="50">
        <f t="shared" si="1"/>
        <v>24436289.11</v>
      </c>
      <c r="AA10" s="50">
        <f t="shared" si="1"/>
        <v>24436289.11</v>
      </c>
      <c r="AB10" s="50">
        <f t="shared" si="1"/>
        <v>24436289.11</v>
      </c>
      <c r="AC10" s="50">
        <f t="shared" si="1"/>
        <v>24436289.11</v>
      </c>
      <c r="AD10" s="51">
        <f>SUM(AC8:AC10)+AC17</f>
        <v>24331933.31</v>
      </c>
    </row>
    <row r="11" spans="1:30" ht="12.75">
      <c r="A11" s="56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2.75">
      <c r="A12" s="56">
        <v>7</v>
      </c>
      <c r="B12" s="59" t="s">
        <v>99</v>
      </c>
      <c r="C12" s="50">
        <f>'18210201-2006 Storm'!X26</f>
        <v>79849845.505136</v>
      </c>
      <c r="D12" s="50">
        <f>C12</f>
        <v>79849845.505136</v>
      </c>
      <c r="E12" s="50">
        <f aca="true" t="shared" si="2" ref="E12:AD12">D12</f>
        <v>79849845.505136</v>
      </c>
      <c r="F12" s="50">
        <f t="shared" si="2"/>
        <v>79849845.505136</v>
      </c>
      <c r="G12" s="50">
        <f t="shared" si="2"/>
        <v>79849845.505136</v>
      </c>
      <c r="H12" s="50">
        <f t="shared" si="2"/>
        <v>79849845.505136</v>
      </c>
      <c r="I12" s="50">
        <f t="shared" si="2"/>
        <v>79849845.505136</v>
      </c>
      <c r="J12" s="50">
        <f t="shared" si="2"/>
        <v>79849845.505136</v>
      </c>
      <c r="K12" s="50">
        <f t="shared" si="2"/>
        <v>79849845.505136</v>
      </c>
      <c r="L12" s="50">
        <f t="shared" si="2"/>
        <v>79849845.505136</v>
      </c>
      <c r="M12" s="50">
        <f t="shared" si="2"/>
        <v>79849845.505136</v>
      </c>
      <c r="N12" s="50">
        <f t="shared" si="2"/>
        <v>79849845.505136</v>
      </c>
      <c r="O12" s="50">
        <f t="shared" si="2"/>
        <v>79849845.505136</v>
      </c>
      <c r="P12" s="50">
        <f t="shared" si="2"/>
        <v>79849845.505136</v>
      </c>
      <c r="Q12" s="50">
        <f t="shared" si="2"/>
        <v>79849845.505136</v>
      </c>
      <c r="R12" s="50">
        <f t="shared" si="2"/>
        <v>79849845.505136</v>
      </c>
      <c r="S12" s="50">
        <f t="shared" si="2"/>
        <v>79849845.505136</v>
      </c>
      <c r="T12" s="50">
        <f t="shared" si="2"/>
        <v>79849845.505136</v>
      </c>
      <c r="U12" s="50">
        <f t="shared" si="2"/>
        <v>79849845.505136</v>
      </c>
      <c r="V12" s="50">
        <f t="shared" si="2"/>
        <v>79849845.505136</v>
      </c>
      <c r="W12" s="50">
        <f t="shared" si="2"/>
        <v>79849845.505136</v>
      </c>
      <c r="X12" s="50">
        <f t="shared" si="2"/>
        <v>79849845.505136</v>
      </c>
      <c r="Y12" s="50">
        <f t="shared" si="2"/>
        <v>79849845.505136</v>
      </c>
      <c r="Z12" s="50">
        <f t="shared" si="2"/>
        <v>79849845.505136</v>
      </c>
      <c r="AA12" s="50">
        <f t="shared" si="2"/>
        <v>79849845.505136</v>
      </c>
      <c r="AB12" s="50">
        <f t="shared" si="2"/>
        <v>79849845.505136</v>
      </c>
      <c r="AC12" s="50">
        <f t="shared" si="2"/>
        <v>79849845.505136</v>
      </c>
      <c r="AD12" s="50">
        <f t="shared" si="2"/>
        <v>79849845.505136</v>
      </c>
    </row>
    <row r="13" spans="1:30" ht="12.75">
      <c r="A13" s="56">
        <v>8</v>
      </c>
      <c r="B13" s="59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12.75">
      <c r="A14" s="56">
        <v>9</v>
      </c>
      <c r="B14" s="59" t="s">
        <v>35</v>
      </c>
      <c r="C14" s="50">
        <v>781319.83</v>
      </c>
      <c r="D14" s="50">
        <f>C14</f>
        <v>781319.83</v>
      </c>
      <c r="E14" s="50">
        <f>D14</f>
        <v>781319.83</v>
      </c>
      <c r="F14" s="50">
        <f aca="true" t="shared" si="3" ref="F14:AD14">E14</f>
        <v>781319.83</v>
      </c>
      <c r="G14" s="50">
        <f t="shared" si="3"/>
        <v>781319.83</v>
      </c>
      <c r="H14" s="50">
        <f t="shared" si="3"/>
        <v>781319.83</v>
      </c>
      <c r="I14" s="50">
        <f t="shared" si="3"/>
        <v>781319.83</v>
      </c>
      <c r="J14" s="50">
        <f t="shared" si="3"/>
        <v>781319.83</v>
      </c>
      <c r="K14" s="50">
        <f t="shared" si="3"/>
        <v>781319.83</v>
      </c>
      <c r="L14" s="50">
        <f t="shared" si="3"/>
        <v>781319.83</v>
      </c>
      <c r="M14" s="50">
        <f t="shared" si="3"/>
        <v>781319.83</v>
      </c>
      <c r="N14" s="50">
        <f t="shared" si="3"/>
        <v>781319.83</v>
      </c>
      <c r="O14" s="50">
        <f t="shared" si="3"/>
        <v>781319.83</v>
      </c>
      <c r="P14" s="50">
        <f t="shared" si="3"/>
        <v>781319.83</v>
      </c>
      <c r="Q14" s="50">
        <f t="shared" si="3"/>
        <v>781319.83</v>
      </c>
      <c r="R14" s="50">
        <f t="shared" si="3"/>
        <v>781319.83</v>
      </c>
      <c r="S14" s="50">
        <f t="shared" si="3"/>
        <v>781319.83</v>
      </c>
      <c r="T14" s="50">
        <f t="shared" si="3"/>
        <v>781319.83</v>
      </c>
      <c r="U14" s="50">
        <f t="shared" si="3"/>
        <v>781319.83</v>
      </c>
      <c r="V14" s="50">
        <f t="shared" si="3"/>
        <v>781319.83</v>
      </c>
      <c r="W14" s="50">
        <f t="shared" si="3"/>
        <v>781319.83</v>
      </c>
      <c r="X14" s="50">
        <f t="shared" si="3"/>
        <v>781319.83</v>
      </c>
      <c r="Y14" s="50">
        <f t="shared" si="3"/>
        <v>781319.83</v>
      </c>
      <c r="Z14" s="50">
        <f t="shared" si="3"/>
        <v>781319.83</v>
      </c>
      <c r="AA14" s="50">
        <f t="shared" si="3"/>
        <v>781319.83</v>
      </c>
      <c r="AB14" s="50">
        <f t="shared" si="3"/>
        <v>781319.83</v>
      </c>
      <c r="AC14" s="50">
        <f t="shared" si="3"/>
        <v>781319.83</v>
      </c>
      <c r="AD14" s="50">
        <f t="shared" si="3"/>
        <v>781319.83</v>
      </c>
    </row>
    <row r="15" spans="1:30" ht="12.75">
      <c r="A15" s="56">
        <v>10</v>
      </c>
      <c r="B15" s="59"/>
      <c r="C15" s="50"/>
      <c r="D15" s="50"/>
      <c r="E15" s="50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2.75">
      <c r="A16" s="56">
        <v>11</v>
      </c>
      <c r="B16" s="59" t="s">
        <v>25</v>
      </c>
      <c r="C16" s="50"/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3.5" thickBot="1">
      <c r="A17" s="57">
        <v>12</v>
      </c>
      <c r="B17" s="60" t="s">
        <v>37</v>
      </c>
      <c r="C17" s="52">
        <v>-244162.25</v>
      </c>
      <c r="D17" s="52">
        <v>-244162.25</v>
      </c>
      <c r="E17" s="52">
        <v>-244162.25</v>
      </c>
      <c r="F17" s="52">
        <v>-244162.25</v>
      </c>
      <c r="G17" s="52">
        <v>-244162.25</v>
      </c>
      <c r="H17" s="52">
        <v>-244162.25</v>
      </c>
      <c r="I17" s="52">
        <v>-244162.25</v>
      </c>
      <c r="J17" s="52">
        <v>-244162.25</v>
      </c>
      <c r="K17" s="52">
        <v>-244162.25</v>
      </c>
      <c r="L17" s="52">
        <v>-244162.25</v>
      </c>
      <c r="M17" s="52">
        <v>-244162.25</v>
      </c>
      <c r="N17" s="52">
        <v>-244162.25</v>
      </c>
      <c r="O17" s="52">
        <v>-244162.25</v>
      </c>
      <c r="P17" s="52">
        <v>-244162.25</v>
      </c>
      <c r="Q17" s="52">
        <v>-244162.25</v>
      </c>
      <c r="R17" s="52">
        <v>-244162.25</v>
      </c>
      <c r="S17" s="52">
        <v>-244162.25</v>
      </c>
      <c r="T17" s="52">
        <v>-244162.25</v>
      </c>
      <c r="U17" s="52">
        <v>-244162.25</v>
      </c>
      <c r="V17" s="52">
        <v>-244162.25</v>
      </c>
      <c r="W17" s="52">
        <v>-244162.25</v>
      </c>
      <c r="X17" s="52">
        <v>-244162.25</v>
      </c>
      <c r="Y17" s="52">
        <v>-244162.25</v>
      </c>
      <c r="Z17" s="52">
        <v>-244162.25</v>
      </c>
      <c r="AA17" s="52">
        <v>-244162.25</v>
      </c>
      <c r="AB17" s="52">
        <v>-244162.25</v>
      </c>
      <c r="AC17" s="52">
        <v>-244162.25</v>
      </c>
      <c r="AD17" s="52">
        <v>-244162.25</v>
      </c>
    </row>
    <row r="18" spans="3:18" ht="12.75">
      <c r="C18" s="53"/>
      <c r="D18" s="53"/>
      <c r="E18" s="53"/>
      <c r="F18" s="53"/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3:18" ht="12.75">
      <c r="C19" s="53"/>
      <c r="D19" s="53"/>
      <c r="E19" s="53"/>
      <c r="F19" s="53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ht="12.75">
      <c r="H20" s="55"/>
    </row>
    <row r="21" ht="12.75">
      <c r="H21" s="55"/>
    </row>
    <row r="22" ht="12.75">
      <c r="H22" s="55"/>
    </row>
    <row r="23" ht="12.75">
      <c r="H23" s="55"/>
    </row>
    <row r="24" ht="12.75">
      <c r="H24" s="55"/>
    </row>
    <row r="25" ht="12.75">
      <c r="H25" s="55"/>
    </row>
    <row r="26" ht="12.75">
      <c r="H26" s="55"/>
    </row>
    <row r="27" ht="12.75">
      <c r="H27" s="55"/>
    </row>
  </sheetData>
  <sheetProtection/>
  <printOptions/>
  <pageMargins left="0.2" right="0.21" top="1" bottom="1" header="0.5" footer="0.5"/>
  <pageSetup fitToWidth="3" horizontalDpi="600" verticalDpi="600" orientation="landscape" scale="66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D1">
      <selection activeCell="T41" sqref="T41"/>
    </sheetView>
  </sheetViews>
  <sheetFormatPr defaultColWidth="8.8515625" defaultRowHeight="12.75"/>
  <cols>
    <col min="1" max="1" width="15.28125" style="69" bestFit="1" customWidth="1"/>
    <col min="2" max="2" width="41.421875" style="69" bestFit="1" customWidth="1"/>
    <col min="3" max="3" width="11.7109375" style="69" customWidth="1"/>
    <col min="4" max="4" width="12.28125" style="69" bestFit="1" customWidth="1"/>
    <col min="5" max="12" width="11.7109375" style="69" customWidth="1"/>
    <col min="13" max="14" width="12.28125" style="69" bestFit="1" customWidth="1"/>
    <col min="15" max="15" width="11.7109375" style="69" customWidth="1"/>
    <col min="16" max="16" width="12.28125" style="69" bestFit="1" customWidth="1"/>
    <col min="17" max="23" width="11.7109375" style="69" customWidth="1"/>
    <col min="24" max="24" width="13.57421875" style="69" bestFit="1" customWidth="1"/>
    <col min="25" max="25" width="11.28125" style="71" bestFit="1" customWidth="1"/>
    <col min="26" max="16384" width="8.8515625" style="71" customWidth="1"/>
  </cols>
  <sheetData>
    <row r="1" ht="12.75"/>
    <row r="2" ht="12.75">
      <c r="C2" s="70"/>
    </row>
    <row r="3" spans="1:3" ht="12.75">
      <c r="A3" s="72" t="s">
        <v>59</v>
      </c>
      <c r="B3" s="73" t="s">
        <v>0</v>
      </c>
      <c r="C3" s="74"/>
    </row>
    <row r="4" spans="1:3" ht="12.75">
      <c r="A4" s="72" t="s">
        <v>60</v>
      </c>
      <c r="B4" s="73" t="s">
        <v>61</v>
      </c>
      <c r="C4" s="74"/>
    </row>
    <row r="5" spans="1:3" ht="12.75">
      <c r="A5" s="72" t="s">
        <v>62</v>
      </c>
      <c r="B5" s="73" t="s">
        <v>63</v>
      </c>
      <c r="C5" s="74"/>
    </row>
    <row r="6" spans="1:3" ht="12.75">
      <c r="A6" s="72" t="s">
        <v>64</v>
      </c>
      <c r="B6" s="73" t="s">
        <v>0</v>
      </c>
      <c r="C6" s="74"/>
    </row>
    <row r="7" spans="1:3" ht="12.75">
      <c r="A7" s="72" t="s">
        <v>65</v>
      </c>
      <c r="B7" s="73" t="s">
        <v>66</v>
      </c>
      <c r="C7" s="74"/>
    </row>
    <row r="8" spans="1:3" ht="12.75">
      <c r="A8" s="72" t="s">
        <v>67</v>
      </c>
      <c r="B8" s="73" t="s">
        <v>68</v>
      </c>
      <c r="C8" s="74"/>
    </row>
    <row r="9" spans="1:3" ht="12.75">
      <c r="A9" s="72" t="s">
        <v>69</v>
      </c>
      <c r="B9" s="73" t="s">
        <v>70</v>
      </c>
      <c r="C9" s="74"/>
    </row>
    <row r="10" spans="1:3" ht="12.75">
      <c r="A10" s="74"/>
      <c r="B10" s="70"/>
      <c r="C10" s="74"/>
    </row>
    <row r="11" spans="1:24" ht="12.75">
      <c r="A11" s="75"/>
      <c r="B11" s="75"/>
      <c r="C11" s="76">
        <v>38718</v>
      </c>
      <c r="D11" s="76">
        <v>38749</v>
      </c>
      <c r="E11" s="76">
        <v>38777</v>
      </c>
      <c r="F11" s="76">
        <v>38808</v>
      </c>
      <c r="G11" s="76">
        <v>38838</v>
      </c>
      <c r="H11" s="76">
        <v>38869</v>
      </c>
      <c r="I11" s="76">
        <v>38899</v>
      </c>
      <c r="J11" s="76">
        <v>38930</v>
      </c>
      <c r="K11" s="76">
        <v>38961</v>
      </c>
      <c r="L11" s="76">
        <v>38991</v>
      </c>
      <c r="M11" s="76">
        <v>39022</v>
      </c>
      <c r="N11" s="76">
        <v>39052</v>
      </c>
      <c r="O11" s="76">
        <v>39083</v>
      </c>
      <c r="P11" s="76">
        <v>39114</v>
      </c>
      <c r="Q11" s="76">
        <v>39142</v>
      </c>
      <c r="R11" s="76">
        <v>39173</v>
      </c>
      <c r="S11" s="76">
        <v>39203</v>
      </c>
      <c r="T11" s="76">
        <v>39234</v>
      </c>
      <c r="U11" s="76">
        <v>39264</v>
      </c>
      <c r="V11" s="76">
        <v>39295</v>
      </c>
      <c r="W11" s="76">
        <v>39326</v>
      </c>
      <c r="X11" s="76" t="s">
        <v>1</v>
      </c>
    </row>
    <row r="12" spans="1:24" ht="12.75">
      <c r="A12" s="77" t="s">
        <v>71</v>
      </c>
      <c r="B12" s="78" t="s">
        <v>72</v>
      </c>
      <c r="C12" s="79">
        <v>332840.25</v>
      </c>
      <c r="D12" s="79">
        <v>12152412.71</v>
      </c>
      <c r="E12" s="79">
        <v>1359721.56</v>
      </c>
      <c r="F12" s="79">
        <v>570345.1</v>
      </c>
      <c r="G12" s="79">
        <v>147823.23</v>
      </c>
      <c r="H12" s="79">
        <v>-25448.51</v>
      </c>
      <c r="I12" s="79">
        <v>5465.18</v>
      </c>
      <c r="J12" s="79">
        <v>2599.31</v>
      </c>
      <c r="K12" s="79">
        <v>1204.5</v>
      </c>
      <c r="L12" s="79">
        <v>24.51</v>
      </c>
      <c r="M12" s="79">
        <v>15630690.71</v>
      </c>
      <c r="N12" s="79">
        <v>68163296.81</v>
      </c>
      <c r="O12" s="79">
        <v>4965649.14</v>
      </c>
      <c r="P12" s="79">
        <v>11824029.18</v>
      </c>
      <c r="Q12" s="79">
        <v>821958.41</v>
      </c>
      <c r="R12" s="79">
        <v>-959434.99</v>
      </c>
      <c r="S12" s="79">
        <v>-45838.34</v>
      </c>
      <c r="T12" s="79">
        <v>79554.29</v>
      </c>
      <c r="U12" s="79">
        <v>21027.68</v>
      </c>
      <c r="V12" s="79">
        <v>2793.02</v>
      </c>
      <c r="W12" s="79">
        <v>50114.3</v>
      </c>
      <c r="X12" s="79">
        <f aca="true" t="shared" si="0" ref="X12:X24">SUM(C12:W12)</f>
        <v>115100828.05000001</v>
      </c>
    </row>
    <row r="13" spans="1:24" ht="12.75">
      <c r="A13" s="80" t="s">
        <v>73</v>
      </c>
      <c r="B13" s="81" t="s">
        <v>74</v>
      </c>
      <c r="C13" s="82">
        <v>225130.36</v>
      </c>
      <c r="D13" s="82">
        <v>48205.59</v>
      </c>
      <c r="E13" s="82">
        <v>-54316.99</v>
      </c>
      <c r="F13" s="82">
        <v>-630.96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f t="shared" si="0"/>
        <v>218387.99999999997</v>
      </c>
    </row>
    <row r="14" spans="1:24" ht="12.75">
      <c r="A14" s="80" t="s">
        <v>75</v>
      </c>
      <c r="B14" s="81" t="s">
        <v>76</v>
      </c>
      <c r="C14" s="82">
        <v>107709.89</v>
      </c>
      <c r="D14" s="82">
        <v>544063.15</v>
      </c>
      <c r="E14" s="82">
        <v>-10853.36</v>
      </c>
      <c r="F14" s="82">
        <v>4236.82</v>
      </c>
      <c r="G14" s="82">
        <v>990.38</v>
      </c>
      <c r="H14" s="82">
        <v>0</v>
      </c>
      <c r="I14" s="82">
        <v>-35.4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f t="shared" si="0"/>
        <v>646111.48</v>
      </c>
    </row>
    <row r="15" spans="1:24" ht="12.75">
      <c r="A15" s="80" t="s">
        <v>77</v>
      </c>
      <c r="B15" s="81" t="s">
        <v>78</v>
      </c>
      <c r="C15" s="82">
        <v>0</v>
      </c>
      <c r="D15" s="82">
        <v>8009848.36</v>
      </c>
      <c r="E15" s="82">
        <v>948247.89</v>
      </c>
      <c r="F15" s="82">
        <v>369458.1</v>
      </c>
      <c r="G15" s="82">
        <v>79411.33</v>
      </c>
      <c r="H15" s="82">
        <v>9164.22</v>
      </c>
      <c r="I15" s="82">
        <v>3903.32</v>
      </c>
      <c r="J15" s="82">
        <v>1961.24</v>
      </c>
      <c r="K15" s="82">
        <v>1255.33</v>
      </c>
      <c r="L15" s="82">
        <v>0</v>
      </c>
      <c r="M15" s="82">
        <v>807.4</v>
      </c>
      <c r="N15" s="82">
        <v>0</v>
      </c>
      <c r="O15" s="82">
        <v>0</v>
      </c>
      <c r="P15" s="82">
        <v>-40.66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f t="shared" si="0"/>
        <v>9424016.530000001</v>
      </c>
    </row>
    <row r="16" spans="1:24" ht="12.75">
      <c r="A16" s="80" t="s">
        <v>79</v>
      </c>
      <c r="B16" s="81" t="s">
        <v>80</v>
      </c>
      <c r="C16" s="82">
        <v>0</v>
      </c>
      <c r="D16" s="82">
        <v>438886.53</v>
      </c>
      <c r="E16" s="82">
        <v>15959.49</v>
      </c>
      <c r="F16" s="82">
        <v>13456.78</v>
      </c>
      <c r="G16" s="82">
        <v>8064.59</v>
      </c>
      <c r="H16" s="82">
        <v>601.41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f t="shared" si="0"/>
        <v>476968.80000000005</v>
      </c>
    </row>
    <row r="17" spans="1:24" ht="12.75">
      <c r="A17" s="80" t="s">
        <v>81</v>
      </c>
      <c r="B17" s="81" t="s">
        <v>82</v>
      </c>
      <c r="C17" s="82">
        <v>0</v>
      </c>
      <c r="D17" s="82">
        <v>3111409.08</v>
      </c>
      <c r="E17" s="82">
        <v>50343.33</v>
      </c>
      <c r="F17" s="82">
        <v>147494.65</v>
      </c>
      <c r="G17" s="82">
        <v>42543.06</v>
      </c>
      <c r="H17" s="82">
        <v>-35244.42</v>
      </c>
      <c r="I17" s="82">
        <v>1506.93</v>
      </c>
      <c r="J17" s="82">
        <v>539.44</v>
      </c>
      <c r="K17" s="82">
        <v>36.34</v>
      </c>
      <c r="L17" s="82">
        <v>24.51</v>
      </c>
      <c r="M17" s="82">
        <v>4253.6</v>
      </c>
      <c r="N17" s="82">
        <v>3055.66</v>
      </c>
      <c r="O17" s="82">
        <v>21.77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f t="shared" si="0"/>
        <v>3325983.95</v>
      </c>
    </row>
    <row r="18" spans="1:24" ht="12.75">
      <c r="A18" s="80" t="s">
        <v>83</v>
      </c>
      <c r="B18" s="81" t="s">
        <v>84</v>
      </c>
      <c r="C18" s="82">
        <v>0</v>
      </c>
      <c r="D18" s="82">
        <v>0</v>
      </c>
      <c r="E18" s="82">
        <v>410341.2</v>
      </c>
      <c r="F18" s="82">
        <v>36329.71</v>
      </c>
      <c r="G18" s="82">
        <v>16813.87</v>
      </c>
      <c r="H18" s="82">
        <v>30.28</v>
      </c>
      <c r="I18" s="82">
        <v>90.33</v>
      </c>
      <c r="J18" s="82">
        <v>98.63</v>
      </c>
      <c r="K18" s="82">
        <v>-87.17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f t="shared" si="0"/>
        <v>463616.8500000001</v>
      </c>
    </row>
    <row r="19" spans="1:24" ht="12.75">
      <c r="A19" s="80" t="s">
        <v>85</v>
      </c>
      <c r="B19" s="81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1381554.28</v>
      </c>
      <c r="N19" s="82">
        <v>105521.83</v>
      </c>
      <c r="O19" s="82">
        <v>-394209.02</v>
      </c>
      <c r="P19" s="82">
        <v>2501.41</v>
      </c>
      <c r="Q19" s="82">
        <v>1709.57</v>
      </c>
      <c r="R19" s="82">
        <v>4.75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f t="shared" si="0"/>
        <v>1097082.82</v>
      </c>
    </row>
    <row r="20" spans="1:24" ht="12.75">
      <c r="A20" s="80" t="s">
        <v>87</v>
      </c>
      <c r="B20" s="81" t="s">
        <v>88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7593016.91</v>
      </c>
      <c r="N20" s="82">
        <v>347453.58</v>
      </c>
      <c r="O20" s="82">
        <v>206779.13</v>
      </c>
      <c r="P20" s="82">
        <v>70973.96</v>
      </c>
      <c r="Q20" s="82">
        <v>14481.41</v>
      </c>
      <c r="R20" s="82">
        <v>7637.79</v>
      </c>
      <c r="S20" s="82">
        <v>14073.82</v>
      </c>
      <c r="T20" s="82">
        <v>116793.27</v>
      </c>
      <c r="U20" s="82">
        <v>1621.11</v>
      </c>
      <c r="V20" s="82">
        <v>0</v>
      </c>
      <c r="W20" s="82">
        <v>380.11</v>
      </c>
      <c r="X20" s="82">
        <f t="shared" si="0"/>
        <v>8373211.090000001</v>
      </c>
    </row>
    <row r="21" spans="1:24" ht="12.75">
      <c r="A21" s="80" t="s">
        <v>89</v>
      </c>
      <c r="B21" s="81" t="s">
        <v>90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f>6649516.83+676</f>
        <v>6650192.83</v>
      </c>
      <c r="N21" s="82">
        <v>-1450147.29</v>
      </c>
      <c r="O21" s="82">
        <v>514241.81</v>
      </c>
      <c r="P21" s="82">
        <v>354462.54</v>
      </c>
      <c r="Q21" s="82">
        <v>37764.22</v>
      </c>
      <c r="R21" s="82">
        <v>-49117.27</v>
      </c>
      <c r="S21" s="82">
        <v>-910.02</v>
      </c>
      <c r="T21" s="82">
        <v>-35630.14</v>
      </c>
      <c r="U21" s="82">
        <v>7060.72</v>
      </c>
      <c r="V21" s="82">
        <v>0</v>
      </c>
      <c r="W21" s="82">
        <v>180.24</v>
      </c>
      <c r="X21" s="82">
        <f t="shared" si="0"/>
        <v>6028097.640000001</v>
      </c>
    </row>
    <row r="22" spans="1:24" ht="12.75">
      <c r="A22" s="80" t="s">
        <v>91</v>
      </c>
      <c r="B22" s="81" t="s">
        <v>92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865.85</v>
      </c>
      <c r="N22" s="82">
        <v>1491309.16</v>
      </c>
      <c r="O22" s="82">
        <v>5903.17</v>
      </c>
      <c r="P22" s="82">
        <v>62499.75</v>
      </c>
      <c r="Q22" s="82">
        <v>-85279.42</v>
      </c>
      <c r="R22" s="82">
        <v>-142.82</v>
      </c>
      <c r="S22" s="82">
        <v>136.48</v>
      </c>
      <c r="T22" s="82">
        <v>-3355.9</v>
      </c>
      <c r="U22" s="82">
        <v>1000</v>
      </c>
      <c r="V22" s="82">
        <v>0</v>
      </c>
      <c r="W22" s="82">
        <v>165.68</v>
      </c>
      <c r="X22" s="82">
        <f t="shared" si="0"/>
        <v>1473101.95</v>
      </c>
    </row>
    <row r="23" spans="1:24" ht="12.75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ht="12.75">
      <c r="A24" s="80" t="s">
        <v>93</v>
      </c>
      <c r="B24" s="81" t="s">
        <v>94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67666103.87</v>
      </c>
      <c r="O24" s="82">
        <v>4632912.28</v>
      </c>
      <c r="P24" s="82">
        <v>11333632.18</v>
      </c>
      <c r="Q24" s="82">
        <v>853282.63</v>
      </c>
      <c r="R24" s="82">
        <v>-917817.44</v>
      </c>
      <c r="S24" s="82">
        <v>-59138.62</v>
      </c>
      <c r="T24" s="82">
        <v>1747.06</v>
      </c>
      <c r="U24" s="82">
        <v>11345.85</v>
      </c>
      <c r="V24" s="82">
        <v>2793.36</v>
      </c>
      <c r="W24" s="82">
        <v>49388.27</v>
      </c>
      <c r="X24" s="82">
        <f t="shared" si="0"/>
        <v>83574249.44</v>
      </c>
    </row>
    <row r="25" spans="1:24" ht="12.75">
      <c r="A25" s="80"/>
      <c r="B25" s="143" t="s">
        <v>338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145">
        <f>-Revised_Final_Defer_121306!AA250</f>
        <v>-3724403.9348639986</v>
      </c>
    </row>
    <row r="26" spans="1:24" ht="12.75">
      <c r="A26" s="80"/>
      <c r="B26" s="143" t="s">
        <v>339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>
        <f>SUM(X24:X25)</f>
        <v>79849845.505136</v>
      </c>
    </row>
    <row r="27" spans="1:24" ht="12.75">
      <c r="A27" s="83"/>
      <c r="B27" s="14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3:24" ht="13.5" thickBot="1">
      <c r="C28" s="142">
        <f aca="true" t="shared" si="1" ref="C28:W28">SUM(C13:C24)</f>
        <v>332840.25</v>
      </c>
      <c r="D28" s="142">
        <f t="shared" si="1"/>
        <v>12152412.709999999</v>
      </c>
      <c r="E28" s="142">
        <f t="shared" si="1"/>
        <v>1359721.56</v>
      </c>
      <c r="F28" s="142">
        <f t="shared" si="1"/>
        <v>570345.1</v>
      </c>
      <c r="G28" s="142">
        <f t="shared" si="1"/>
        <v>147823.23</v>
      </c>
      <c r="H28" s="142">
        <f t="shared" si="1"/>
        <v>-25448.510000000002</v>
      </c>
      <c r="I28" s="142">
        <f t="shared" si="1"/>
        <v>5465.18</v>
      </c>
      <c r="J28" s="142">
        <f t="shared" si="1"/>
        <v>2599.3100000000004</v>
      </c>
      <c r="K28" s="142">
        <f t="shared" si="1"/>
        <v>1204.4999999999998</v>
      </c>
      <c r="L28" s="142">
        <f t="shared" si="1"/>
        <v>24.51</v>
      </c>
      <c r="M28" s="142">
        <f t="shared" si="1"/>
        <v>15630690.87</v>
      </c>
      <c r="N28" s="142">
        <f t="shared" si="1"/>
        <v>68163296.81</v>
      </c>
      <c r="O28" s="142">
        <f t="shared" si="1"/>
        <v>4965649.140000001</v>
      </c>
      <c r="P28" s="142">
        <f t="shared" si="1"/>
        <v>11824029.18</v>
      </c>
      <c r="Q28" s="142">
        <f t="shared" si="1"/>
        <v>821958.41</v>
      </c>
      <c r="R28" s="142">
        <f t="shared" si="1"/>
        <v>-959434.99</v>
      </c>
      <c r="S28" s="142">
        <f t="shared" si="1"/>
        <v>-45838.340000000004</v>
      </c>
      <c r="T28" s="142">
        <f t="shared" si="1"/>
        <v>79554.29000000001</v>
      </c>
      <c r="U28" s="142">
        <f t="shared" si="1"/>
        <v>21027.68</v>
      </c>
      <c r="V28" s="142">
        <f t="shared" si="1"/>
        <v>2793.36</v>
      </c>
      <c r="W28" s="142">
        <f t="shared" si="1"/>
        <v>50114.299999999996</v>
      </c>
      <c r="X28" s="142">
        <f>SUM(X13:X22)+X26</f>
        <v>111376424.615136</v>
      </c>
    </row>
    <row r="29" spans="19:24" ht="13.5" thickTop="1">
      <c r="S29" s="85"/>
      <c r="T29" s="86"/>
      <c r="U29" s="86"/>
      <c r="V29" s="86"/>
      <c r="W29" s="87" t="s">
        <v>95</v>
      </c>
      <c r="X29" s="88">
        <f>X28</f>
        <v>111376424.615136</v>
      </c>
    </row>
    <row r="30" spans="19:24" ht="12.75">
      <c r="S30" s="89"/>
      <c r="T30" s="90"/>
      <c r="U30" s="90"/>
      <c r="V30" s="90"/>
      <c r="W30" s="91" t="s">
        <v>96</v>
      </c>
      <c r="X30" s="92">
        <v>-7000000</v>
      </c>
    </row>
    <row r="31" spans="19:24" ht="12.75">
      <c r="S31" s="89"/>
      <c r="T31" s="90"/>
      <c r="U31" s="90"/>
      <c r="V31" s="90"/>
      <c r="W31" s="91" t="s">
        <v>119</v>
      </c>
      <c r="X31" s="93">
        <v>-90290</v>
      </c>
    </row>
    <row r="32" spans="19:25" ht="12.75">
      <c r="S32" s="89"/>
      <c r="T32" s="90"/>
      <c r="U32" s="90"/>
      <c r="V32" s="90"/>
      <c r="W32" s="91" t="s">
        <v>97</v>
      </c>
      <c r="X32" s="92">
        <f>SUM(X29:X31)</f>
        <v>104286134.615136</v>
      </c>
      <c r="Y32" s="146"/>
    </row>
    <row r="33" spans="19:25" ht="12.75">
      <c r="S33" s="89"/>
      <c r="T33" s="90"/>
      <c r="U33" s="90"/>
      <c r="V33" s="90"/>
      <c r="W33" s="91"/>
      <c r="X33" s="92"/>
      <c r="Y33" s="146"/>
    </row>
    <row r="34" spans="19:24" ht="12.75">
      <c r="S34" s="89"/>
      <c r="T34" s="90"/>
      <c r="U34" s="90"/>
      <c r="V34" s="90"/>
      <c r="W34" s="91" t="s">
        <v>98</v>
      </c>
      <c r="X34" s="311">
        <v>108010537.87</v>
      </c>
    </row>
    <row r="35" spans="19:24" ht="12.75">
      <c r="S35" s="89"/>
      <c r="T35" s="90"/>
      <c r="U35" s="90"/>
      <c r="V35" s="90"/>
      <c r="W35" s="91" t="s">
        <v>342</v>
      </c>
      <c r="X35" s="312">
        <f>X25</f>
        <v>-3724403.9348639986</v>
      </c>
    </row>
    <row r="36" spans="19:24" ht="12.75">
      <c r="S36" s="89"/>
      <c r="T36" s="90"/>
      <c r="U36" s="90"/>
      <c r="V36" s="90"/>
      <c r="W36" s="91" t="s">
        <v>343</v>
      </c>
      <c r="X36" s="311">
        <f>SUM(X34:X35)</f>
        <v>104286133.935136</v>
      </c>
    </row>
    <row r="37" spans="19:24" ht="13.5" thickBot="1">
      <c r="S37" s="94"/>
      <c r="T37" s="95"/>
      <c r="U37" s="95"/>
      <c r="V37" s="95"/>
      <c r="W37" s="96" t="s">
        <v>340</v>
      </c>
      <c r="X37" s="97">
        <f>X32-X36</f>
        <v>0.6799999922513962</v>
      </c>
    </row>
    <row r="40" ht="12.75">
      <c r="X40" s="98"/>
    </row>
    <row r="41" ht="12.75">
      <c r="X41" s="99"/>
    </row>
  </sheetData>
  <sheetProtection/>
  <printOptions/>
  <pageMargins left="0.2" right="0.24" top="1" bottom="1" header="0.5" footer="0.5"/>
  <pageSetup horizontalDpi="600" verticalDpi="600" orientation="landscape" scale="70" r:id="rId2"/>
  <ignoredErrors>
    <ignoredError sqref="C28:W28" formulaRange="1"/>
    <ignoredError sqref="X35:X36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52"/>
  <sheetViews>
    <sheetView zoomScale="95" zoomScaleNormal="95" zoomScaleSheetLayoutView="75" zoomScalePageLayoutView="0" workbookViewId="0" topLeftCell="L1">
      <pane ySplit="1" topLeftCell="BM158" activePane="bottomLeft" state="frozen"/>
      <selection pane="topLeft" activeCell="A1" sqref="A1"/>
      <selection pane="bottomLeft" activeCell="W259" sqref="W259"/>
    </sheetView>
  </sheetViews>
  <sheetFormatPr defaultColWidth="9.140625" defaultRowHeight="12.75"/>
  <cols>
    <col min="1" max="1" width="14.57421875" style="168" customWidth="1"/>
    <col min="2" max="2" width="10.8515625" style="168" customWidth="1"/>
    <col min="3" max="3" width="49.7109375" style="164" bestFit="1" customWidth="1"/>
    <col min="4" max="5" width="15.7109375" style="155" customWidth="1"/>
    <col min="6" max="6" width="15.140625" style="155" bestFit="1" customWidth="1"/>
    <col min="7" max="7" width="13.7109375" style="168" customWidth="1"/>
    <col min="8" max="8" width="36.421875" style="155" bestFit="1" customWidth="1"/>
    <col min="9" max="9" width="12.421875" style="168" customWidth="1"/>
    <col min="10" max="10" width="25.8515625" style="155" customWidth="1"/>
    <col min="11" max="11" width="14.8515625" style="155" customWidth="1"/>
    <col min="12" max="12" width="11.28125" style="155" customWidth="1"/>
    <col min="13" max="13" width="10.421875" style="155" customWidth="1"/>
    <col min="14" max="14" width="11.8515625" style="155" customWidth="1"/>
    <col min="15" max="15" width="11.140625" style="155" customWidth="1"/>
    <col min="16" max="16" width="10.7109375" style="155" customWidth="1"/>
    <col min="17" max="17" width="9.7109375" style="165" customWidth="1"/>
    <col min="18" max="18" width="10.421875" style="155" customWidth="1"/>
    <col min="19" max="19" width="12.140625" style="155" customWidth="1"/>
    <col min="20" max="20" width="11.140625" style="155" customWidth="1"/>
    <col min="21" max="21" width="9.421875" style="155" customWidth="1"/>
    <col min="22" max="22" width="10.28125" style="155" customWidth="1"/>
    <col min="23" max="23" width="10.7109375" style="155" customWidth="1"/>
    <col min="24" max="24" width="11.00390625" style="155" customWidth="1"/>
    <col min="25" max="25" width="11.140625" style="155" customWidth="1"/>
    <col min="26" max="27" width="15.140625" style="155" customWidth="1"/>
    <col min="28" max="28" width="14.421875" style="155" customWidth="1"/>
    <col min="29" max="29" width="12.28125" style="155" customWidth="1"/>
    <col min="30" max="30" width="9.28125" style="155" hidden="1" customWidth="1"/>
    <col min="31" max="16384" width="9.140625" style="155" customWidth="1"/>
  </cols>
  <sheetData>
    <row r="1" spans="1:30" s="151" customFormat="1" ht="48.75" customHeight="1">
      <c r="A1" s="262" t="s">
        <v>69</v>
      </c>
      <c r="B1" s="149" t="s">
        <v>120</v>
      </c>
      <c r="C1" s="263" t="s">
        <v>121</v>
      </c>
      <c r="D1" s="262" t="s">
        <v>122</v>
      </c>
      <c r="E1" s="262" t="s">
        <v>123</v>
      </c>
      <c r="F1" s="262"/>
      <c r="G1" s="262" t="s">
        <v>124</v>
      </c>
      <c r="H1" s="262" t="s">
        <v>125</v>
      </c>
      <c r="I1" s="262" t="s">
        <v>126</v>
      </c>
      <c r="J1" s="262" t="s">
        <v>127</v>
      </c>
      <c r="K1" s="264" t="s">
        <v>128</v>
      </c>
      <c r="L1" s="265" t="s">
        <v>129</v>
      </c>
      <c r="M1" s="265" t="s">
        <v>130</v>
      </c>
      <c r="N1" s="265" t="s">
        <v>131</v>
      </c>
      <c r="O1" s="266" t="s">
        <v>132</v>
      </c>
      <c r="P1" s="267" t="s">
        <v>133</v>
      </c>
      <c r="Q1" s="150" t="s">
        <v>134</v>
      </c>
      <c r="R1" s="268" t="s">
        <v>135</v>
      </c>
      <c r="S1" s="268" t="s">
        <v>136</v>
      </c>
      <c r="T1" s="266" t="s">
        <v>137</v>
      </c>
      <c r="U1" s="266" t="s">
        <v>138</v>
      </c>
      <c r="V1" s="269" t="s">
        <v>139</v>
      </c>
      <c r="W1" s="266" t="s">
        <v>140</v>
      </c>
      <c r="X1" s="270" t="s">
        <v>141</v>
      </c>
      <c r="Y1" s="271" t="s">
        <v>142</v>
      </c>
      <c r="Z1" s="266" t="s">
        <v>143</v>
      </c>
      <c r="AA1" s="266" t="s">
        <v>144</v>
      </c>
      <c r="AB1" s="272" t="s">
        <v>145</v>
      </c>
      <c r="AC1" s="272" t="s">
        <v>146</v>
      </c>
      <c r="AD1" s="141" t="s">
        <v>147</v>
      </c>
    </row>
    <row r="2" spans="1:30" s="151" customFormat="1" ht="11.25">
      <c r="A2" s="222" t="s">
        <v>148</v>
      </c>
      <c r="B2" s="273">
        <v>101047795</v>
      </c>
      <c r="C2" s="225" t="s">
        <v>149</v>
      </c>
      <c r="D2" s="225" t="s">
        <v>150</v>
      </c>
      <c r="E2" s="225" t="s">
        <v>151</v>
      </c>
      <c r="F2" s="226" t="s">
        <v>152</v>
      </c>
      <c r="G2" s="228" t="s">
        <v>153</v>
      </c>
      <c r="H2" s="225" t="s">
        <v>154</v>
      </c>
      <c r="I2" s="228" t="s">
        <v>155</v>
      </c>
      <c r="J2" s="225" t="s">
        <v>156</v>
      </c>
      <c r="K2" s="230">
        <v>4221</v>
      </c>
      <c r="L2" s="231">
        <v>2721.59</v>
      </c>
      <c r="M2" s="230">
        <v>-2456</v>
      </c>
      <c r="N2" s="231">
        <v>-2051.26</v>
      </c>
      <c r="O2" s="232">
        <v>1765</v>
      </c>
      <c r="P2" s="233">
        <v>670.33</v>
      </c>
      <c r="Q2" s="234">
        <v>100</v>
      </c>
      <c r="R2" s="235">
        <f aca="true" t="shared" si="0" ref="R2:R24">ROUND(O2*Q2/100,0)</f>
        <v>1765</v>
      </c>
      <c r="S2" s="235">
        <f>ROUND(P2*Q2/100,2)</f>
        <v>670.33</v>
      </c>
      <c r="T2" s="236"/>
      <c r="U2" s="236"/>
      <c r="V2" s="237"/>
      <c r="W2" s="236">
        <v>0.05</v>
      </c>
      <c r="X2" s="238">
        <f aca="true" t="shared" si="1" ref="X2:X8">ROUND(O2*W2,4)</f>
        <v>88.25</v>
      </c>
      <c r="Y2" s="239">
        <f aca="true" t="shared" si="2" ref="Y2:Y8">R2*(W2/4)</f>
        <v>22.0625</v>
      </c>
      <c r="Z2" s="240">
        <v>724.28</v>
      </c>
      <c r="AA2" s="240">
        <f aca="true" t="shared" si="3" ref="AA2:AA65">ROUND(Y2*Z2,2)</f>
        <v>15979.43</v>
      </c>
      <c r="AB2" s="241">
        <f aca="true" t="shared" si="4" ref="AB2:AB65">ROUND(AA2*0.8,2)</f>
        <v>12783.54</v>
      </c>
      <c r="AC2" s="274">
        <f aca="true" t="shared" si="5" ref="AC2:AC65">ROUND(AA2*0.2,2)</f>
        <v>3195.89</v>
      </c>
      <c r="AD2" s="151" t="b">
        <f aca="true" t="shared" si="6" ref="AD2:AD65">IF(AB2+AC2=AA2,TRUE,FALSE)</f>
        <v>1</v>
      </c>
    </row>
    <row r="3" spans="1:30" s="151" customFormat="1" ht="11.25">
      <c r="A3" s="243" t="s">
        <v>148</v>
      </c>
      <c r="B3" s="275">
        <v>101047795</v>
      </c>
      <c r="C3" s="276" t="s">
        <v>149</v>
      </c>
      <c r="D3" s="276" t="s">
        <v>150</v>
      </c>
      <c r="E3" s="276" t="s">
        <v>151</v>
      </c>
      <c r="F3" s="247" t="s">
        <v>152</v>
      </c>
      <c r="G3" s="277" t="s">
        <v>157</v>
      </c>
      <c r="H3" s="276" t="s">
        <v>158</v>
      </c>
      <c r="I3" s="277" t="s">
        <v>155</v>
      </c>
      <c r="J3" s="276" t="s">
        <v>156</v>
      </c>
      <c r="K3" s="278">
        <v>1100</v>
      </c>
      <c r="L3" s="279">
        <v>462.65</v>
      </c>
      <c r="M3" s="280"/>
      <c r="N3" s="280"/>
      <c r="O3" s="281">
        <v>1100</v>
      </c>
      <c r="P3" s="282">
        <v>462.65</v>
      </c>
      <c r="Q3" s="249">
        <v>75</v>
      </c>
      <c r="R3" s="283">
        <f t="shared" si="0"/>
        <v>825</v>
      </c>
      <c r="S3" s="283">
        <f>ROUND(P3*Q3/100,2)</f>
        <v>346.99</v>
      </c>
      <c r="T3" s="284"/>
      <c r="U3" s="284"/>
      <c r="V3" s="285"/>
      <c r="W3" s="284">
        <v>0.025</v>
      </c>
      <c r="X3" s="286">
        <f t="shared" si="1"/>
        <v>27.5</v>
      </c>
      <c r="Y3" s="287">
        <f t="shared" si="2"/>
        <v>5.15625</v>
      </c>
      <c r="Z3" s="250">
        <v>724.28</v>
      </c>
      <c r="AA3" s="250">
        <f t="shared" si="3"/>
        <v>3734.57</v>
      </c>
      <c r="AB3" s="251">
        <f t="shared" si="4"/>
        <v>2987.66</v>
      </c>
      <c r="AC3" s="288">
        <f t="shared" si="5"/>
        <v>746.91</v>
      </c>
      <c r="AD3" s="151" t="b">
        <f t="shared" si="6"/>
        <v>1</v>
      </c>
    </row>
    <row r="4" spans="1:30" s="151" customFormat="1" ht="11.25">
      <c r="A4" s="243" t="s">
        <v>148</v>
      </c>
      <c r="B4" s="275">
        <v>101047795</v>
      </c>
      <c r="C4" s="276" t="s">
        <v>149</v>
      </c>
      <c r="D4" s="276" t="s">
        <v>150</v>
      </c>
      <c r="E4" s="276" t="s">
        <v>151</v>
      </c>
      <c r="F4" s="247" t="s">
        <v>152</v>
      </c>
      <c r="G4" s="277" t="s">
        <v>159</v>
      </c>
      <c r="H4" s="276" t="s">
        <v>160</v>
      </c>
      <c r="I4" s="277" t="s">
        <v>155</v>
      </c>
      <c r="J4" s="276" t="s">
        <v>156</v>
      </c>
      <c r="K4" s="278">
        <v>2700</v>
      </c>
      <c r="L4" s="279">
        <v>2006</v>
      </c>
      <c r="M4" s="280"/>
      <c r="N4" s="280"/>
      <c r="O4" s="281">
        <v>2700</v>
      </c>
      <c r="P4" s="282">
        <v>2006</v>
      </c>
      <c r="Q4" s="249">
        <v>75</v>
      </c>
      <c r="R4" s="283">
        <f t="shared" si="0"/>
        <v>2025</v>
      </c>
      <c r="S4" s="283">
        <f>ROUND(P4*Q4/100,2)</f>
        <v>1504.5</v>
      </c>
      <c r="T4" s="284"/>
      <c r="U4" s="284"/>
      <c r="V4" s="285"/>
      <c r="W4" s="284">
        <v>0.05</v>
      </c>
      <c r="X4" s="286">
        <f t="shared" si="1"/>
        <v>135</v>
      </c>
      <c r="Y4" s="287">
        <f t="shared" si="2"/>
        <v>25.3125</v>
      </c>
      <c r="Z4" s="250">
        <v>724.28</v>
      </c>
      <c r="AA4" s="250">
        <f t="shared" si="3"/>
        <v>18333.34</v>
      </c>
      <c r="AB4" s="251">
        <f t="shared" si="4"/>
        <v>14666.67</v>
      </c>
      <c r="AC4" s="288">
        <f t="shared" si="5"/>
        <v>3666.67</v>
      </c>
      <c r="AD4" s="151" t="b">
        <f t="shared" si="6"/>
        <v>1</v>
      </c>
    </row>
    <row r="5" spans="1:30" s="151" customFormat="1" ht="11.25">
      <c r="A5" s="243" t="s">
        <v>148</v>
      </c>
      <c r="B5" s="275"/>
      <c r="C5" s="276" t="s">
        <v>149</v>
      </c>
      <c r="D5" s="276" t="s">
        <v>150</v>
      </c>
      <c r="E5" s="276" t="s">
        <v>151</v>
      </c>
      <c r="F5" s="247" t="s">
        <v>161</v>
      </c>
      <c r="G5" s="277" t="s">
        <v>162</v>
      </c>
      <c r="H5" s="276" t="s">
        <v>163</v>
      </c>
      <c r="I5" s="277" t="s">
        <v>155</v>
      </c>
      <c r="J5" s="276" t="s">
        <v>156</v>
      </c>
      <c r="K5" s="278">
        <v>100</v>
      </c>
      <c r="L5" s="279">
        <v>236.9</v>
      </c>
      <c r="M5" s="278">
        <v>150</v>
      </c>
      <c r="N5" s="279">
        <v>355.35</v>
      </c>
      <c r="O5" s="281">
        <v>250</v>
      </c>
      <c r="P5" s="282">
        <v>592.25</v>
      </c>
      <c r="Q5" s="249">
        <v>0</v>
      </c>
      <c r="R5" s="283">
        <f t="shared" si="0"/>
        <v>0</v>
      </c>
      <c r="S5" s="283"/>
      <c r="T5" s="284"/>
      <c r="U5" s="284"/>
      <c r="V5" s="285"/>
      <c r="W5" s="284">
        <v>0.25</v>
      </c>
      <c r="X5" s="286">
        <f t="shared" si="1"/>
        <v>62.5</v>
      </c>
      <c r="Y5" s="287">
        <f t="shared" si="2"/>
        <v>0</v>
      </c>
      <c r="Z5" s="250">
        <v>724.28</v>
      </c>
      <c r="AA5" s="250">
        <f t="shared" si="3"/>
        <v>0</v>
      </c>
      <c r="AB5" s="251">
        <f t="shared" si="4"/>
        <v>0</v>
      </c>
      <c r="AC5" s="288">
        <f t="shared" si="5"/>
        <v>0</v>
      </c>
      <c r="AD5" s="151" t="b">
        <f t="shared" si="6"/>
        <v>1</v>
      </c>
    </row>
    <row r="6" spans="1:30" s="151" customFormat="1" ht="11.25">
      <c r="A6" s="243" t="s">
        <v>148</v>
      </c>
      <c r="B6" s="275"/>
      <c r="C6" s="276" t="s">
        <v>149</v>
      </c>
      <c r="D6" s="276" t="s">
        <v>150</v>
      </c>
      <c r="E6" s="276" t="s">
        <v>151</v>
      </c>
      <c r="F6" s="247" t="s">
        <v>161</v>
      </c>
      <c r="G6" s="277" t="s">
        <v>164</v>
      </c>
      <c r="H6" s="276" t="s">
        <v>165</v>
      </c>
      <c r="I6" s="277" t="s">
        <v>155</v>
      </c>
      <c r="J6" s="276" t="s">
        <v>156</v>
      </c>
      <c r="K6" s="278">
        <v>6130</v>
      </c>
      <c r="L6" s="279">
        <v>10948.04</v>
      </c>
      <c r="M6" s="278">
        <v>-5980</v>
      </c>
      <c r="N6" s="279">
        <v>-10677.42</v>
      </c>
      <c r="O6" s="281">
        <v>150</v>
      </c>
      <c r="P6" s="282">
        <v>270.62</v>
      </c>
      <c r="Q6" s="249">
        <v>0</v>
      </c>
      <c r="R6" s="283">
        <f t="shared" si="0"/>
        <v>0</v>
      </c>
      <c r="S6" s="283"/>
      <c r="T6" s="284"/>
      <c r="U6" s="284"/>
      <c r="V6" s="285"/>
      <c r="W6" s="284">
        <v>0.025</v>
      </c>
      <c r="X6" s="286">
        <f t="shared" si="1"/>
        <v>3.75</v>
      </c>
      <c r="Y6" s="287">
        <f t="shared" si="2"/>
        <v>0</v>
      </c>
      <c r="Z6" s="250">
        <v>724.28</v>
      </c>
      <c r="AA6" s="250">
        <f t="shared" si="3"/>
        <v>0</v>
      </c>
      <c r="AB6" s="251">
        <f t="shared" si="4"/>
        <v>0</v>
      </c>
      <c r="AC6" s="288">
        <f t="shared" si="5"/>
        <v>0</v>
      </c>
      <c r="AD6" s="151" t="b">
        <f t="shared" si="6"/>
        <v>1</v>
      </c>
    </row>
    <row r="7" spans="1:30" s="151" customFormat="1" ht="11.25">
      <c r="A7" s="243" t="s">
        <v>148</v>
      </c>
      <c r="B7" s="275"/>
      <c r="C7" s="276" t="s">
        <v>149</v>
      </c>
      <c r="D7" s="276" t="s">
        <v>150</v>
      </c>
      <c r="E7" s="276" t="s">
        <v>151</v>
      </c>
      <c r="F7" s="247" t="s">
        <v>161</v>
      </c>
      <c r="G7" s="277" t="s">
        <v>166</v>
      </c>
      <c r="H7" s="276" t="s">
        <v>167</v>
      </c>
      <c r="I7" s="277" t="s">
        <v>155</v>
      </c>
      <c r="J7" s="276" t="s">
        <v>156</v>
      </c>
      <c r="K7" s="278">
        <v>4185</v>
      </c>
      <c r="L7" s="279">
        <v>10550.11</v>
      </c>
      <c r="M7" s="278">
        <v>-4085</v>
      </c>
      <c r="N7" s="279">
        <v>-10298.02</v>
      </c>
      <c r="O7" s="281">
        <v>100</v>
      </c>
      <c r="P7" s="282">
        <v>252.09</v>
      </c>
      <c r="Q7" s="249">
        <v>0</v>
      </c>
      <c r="R7" s="283">
        <f t="shared" si="0"/>
        <v>0</v>
      </c>
      <c r="S7" s="283"/>
      <c r="T7" s="284"/>
      <c r="U7" s="284"/>
      <c r="V7" s="285"/>
      <c r="W7" s="284">
        <v>0.25</v>
      </c>
      <c r="X7" s="286">
        <f t="shared" si="1"/>
        <v>25</v>
      </c>
      <c r="Y7" s="287">
        <f t="shared" si="2"/>
        <v>0</v>
      </c>
      <c r="Z7" s="250">
        <v>724.28</v>
      </c>
      <c r="AA7" s="250">
        <f t="shared" si="3"/>
        <v>0</v>
      </c>
      <c r="AB7" s="251">
        <f t="shared" si="4"/>
        <v>0</v>
      </c>
      <c r="AC7" s="288">
        <f t="shared" si="5"/>
        <v>0</v>
      </c>
      <c r="AD7" s="151" t="b">
        <f t="shared" si="6"/>
        <v>1</v>
      </c>
    </row>
    <row r="8" spans="1:30" s="151" customFormat="1" ht="11.25">
      <c r="A8" s="243" t="s">
        <v>168</v>
      </c>
      <c r="B8" s="244"/>
      <c r="C8" s="276" t="s">
        <v>169</v>
      </c>
      <c r="D8" s="276" t="s">
        <v>150</v>
      </c>
      <c r="E8" s="276" t="s">
        <v>151</v>
      </c>
      <c r="F8" s="247" t="s">
        <v>161</v>
      </c>
      <c r="G8" s="277" t="s">
        <v>164</v>
      </c>
      <c r="H8" s="276" t="s">
        <v>165</v>
      </c>
      <c r="I8" s="277" t="s">
        <v>155</v>
      </c>
      <c r="J8" s="276" t="s">
        <v>156</v>
      </c>
      <c r="K8" s="278">
        <v>20</v>
      </c>
      <c r="L8" s="279">
        <v>35.72</v>
      </c>
      <c r="M8" s="280"/>
      <c r="N8" s="280"/>
      <c r="O8" s="281">
        <v>20</v>
      </c>
      <c r="P8" s="282">
        <v>35.72</v>
      </c>
      <c r="Q8" s="249">
        <v>0</v>
      </c>
      <c r="R8" s="283">
        <f t="shared" si="0"/>
        <v>0</v>
      </c>
      <c r="S8" s="283"/>
      <c r="T8" s="284"/>
      <c r="U8" s="284"/>
      <c r="V8" s="285"/>
      <c r="W8" s="284">
        <v>0.025</v>
      </c>
      <c r="X8" s="286">
        <f t="shared" si="1"/>
        <v>0.5</v>
      </c>
      <c r="Y8" s="287">
        <f t="shared" si="2"/>
        <v>0</v>
      </c>
      <c r="Z8" s="250">
        <v>724.28</v>
      </c>
      <c r="AA8" s="250">
        <f t="shared" si="3"/>
        <v>0</v>
      </c>
      <c r="AB8" s="251">
        <f t="shared" si="4"/>
        <v>0</v>
      </c>
      <c r="AC8" s="288">
        <f t="shared" si="5"/>
        <v>0</v>
      </c>
      <c r="AD8" s="151" t="b">
        <f t="shared" si="6"/>
        <v>1</v>
      </c>
    </row>
    <row r="9" spans="1:30" s="151" customFormat="1" ht="11.25">
      <c r="A9" s="243" t="s">
        <v>170</v>
      </c>
      <c r="B9" s="275">
        <v>101047784</v>
      </c>
      <c r="C9" s="289" t="s">
        <v>171</v>
      </c>
      <c r="D9" s="276" t="s">
        <v>150</v>
      </c>
      <c r="E9" s="276" t="s">
        <v>151</v>
      </c>
      <c r="F9" s="247" t="s">
        <v>172</v>
      </c>
      <c r="G9" s="277" t="s">
        <v>173</v>
      </c>
      <c r="H9" s="276" t="s">
        <v>174</v>
      </c>
      <c r="I9" s="277" t="s">
        <v>155</v>
      </c>
      <c r="J9" s="276" t="s">
        <v>156</v>
      </c>
      <c r="K9" s="278">
        <v>2000</v>
      </c>
      <c r="L9" s="279">
        <v>1287.4</v>
      </c>
      <c r="M9" s="280"/>
      <c r="N9" s="280"/>
      <c r="O9" s="281">
        <v>2000</v>
      </c>
      <c r="P9" s="282">
        <v>1287.4</v>
      </c>
      <c r="Q9" s="249">
        <v>100</v>
      </c>
      <c r="R9" s="283">
        <f t="shared" si="0"/>
        <v>2000</v>
      </c>
      <c r="S9" s="283">
        <f>ROUND(P9*Q9/100,2)</f>
        <v>1287.4</v>
      </c>
      <c r="T9" s="284">
        <v>116</v>
      </c>
      <c r="U9" s="284">
        <f>ROUND(O9/T9,0)</f>
        <v>17</v>
      </c>
      <c r="V9" s="285">
        <f>ROUND(R9/T9,0)</f>
        <v>17</v>
      </c>
      <c r="W9" s="284">
        <v>1.5</v>
      </c>
      <c r="X9" s="286">
        <f>ROUND(W9*U9,4)</f>
        <v>25.5</v>
      </c>
      <c r="Y9" s="287">
        <f>V9*W9/4</f>
        <v>6.375</v>
      </c>
      <c r="Z9" s="250">
        <v>724.28</v>
      </c>
      <c r="AA9" s="250">
        <f t="shared" si="3"/>
        <v>4617.29</v>
      </c>
      <c r="AB9" s="251">
        <f t="shared" si="4"/>
        <v>3693.83</v>
      </c>
      <c r="AC9" s="288">
        <f t="shared" si="5"/>
        <v>923.46</v>
      </c>
      <c r="AD9" s="151" t="b">
        <f t="shared" si="6"/>
        <v>1</v>
      </c>
    </row>
    <row r="10" spans="1:30" s="151" customFormat="1" ht="11.25">
      <c r="A10" s="243" t="s">
        <v>170</v>
      </c>
      <c r="B10" s="275">
        <v>101047782</v>
      </c>
      <c r="C10" s="289" t="s">
        <v>171</v>
      </c>
      <c r="D10" s="276" t="s">
        <v>150</v>
      </c>
      <c r="E10" s="276" t="s">
        <v>151</v>
      </c>
      <c r="F10" s="247" t="s">
        <v>175</v>
      </c>
      <c r="G10" s="277" t="s">
        <v>176</v>
      </c>
      <c r="H10" s="276" t="s">
        <v>177</v>
      </c>
      <c r="I10" s="277" t="s">
        <v>155</v>
      </c>
      <c r="J10" s="276" t="s">
        <v>156</v>
      </c>
      <c r="K10" s="278">
        <v>1800</v>
      </c>
      <c r="L10" s="279">
        <v>503.98</v>
      </c>
      <c r="M10" s="278">
        <v>-800</v>
      </c>
      <c r="N10" s="279">
        <v>-254.76</v>
      </c>
      <c r="O10" s="281">
        <v>1000</v>
      </c>
      <c r="P10" s="282">
        <v>249.22</v>
      </c>
      <c r="Q10" s="249">
        <v>75</v>
      </c>
      <c r="R10" s="283">
        <f t="shared" si="0"/>
        <v>750</v>
      </c>
      <c r="S10" s="283">
        <f>ROUND(P10*Q10/100,2)</f>
        <v>186.92</v>
      </c>
      <c r="T10" s="284"/>
      <c r="U10" s="284"/>
      <c r="V10" s="285"/>
      <c r="W10" s="284">
        <v>0.05</v>
      </c>
      <c r="X10" s="286">
        <f>ROUND(O10*W10,4)</f>
        <v>50</v>
      </c>
      <c r="Y10" s="287">
        <f>R10*(W10/4)</f>
        <v>9.375</v>
      </c>
      <c r="Z10" s="250">
        <v>724.28</v>
      </c>
      <c r="AA10" s="250">
        <f t="shared" si="3"/>
        <v>6790.13</v>
      </c>
      <c r="AB10" s="251">
        <f t="shared" si="4"/>
        <v>5432.1</v>
      </c>
      <c r="AC10" s="288">
        <f t="shared" si="5"/>
        <v>1358.03</v>
      </c>
      <c r="AD10" s="151" t="b">
        <f t="shared" si="6"/>
        <v>1</v>
      </c>
    </row>
    <row r="11" spans="1:30" s="151" customFormat="1" ht="11.25">
      <c r="A11" s="243" t="s">
        <v>170</v>
      </c>
      <c r="B11" s="275">
        <v>101047784</v>
      </c>
      <c r="C11" s="289" t="s">
        <v>171</v>
      </c>
      <c r="D11" s="276" t="s">
        <v>150</v>
      </c>
      <c r="E11" s="276" t="s">
        <v>151</v>
      </c>
      <c r="F11" s="247" t="s">
        <v>172</v>
      </c>
      <c r="G11" s="277" t="s">
        <v>178</v>
      </c>
      <c r="H11" s="276" t="s">
        <v>179</v>
      </c>
      <c r="I11" s="277" t="s">
        <v>155</v>
      </c>
      <c r="J11" s="276" t="s">
        <v>156</v>
      </c>
      <c r="K11" s="278">
        <v>1200</v>
      </c>
      <c r="L11" s="279">
        <v>1398.26</v>
      </c>
      <c r="M11" s="280"/>
      <c r="N11" s="280"/>
      <c r="O11" s="281">
        <v>1200</v>
      </c>
      <c r="P11" s="282">
        <v>1398.26</v>
      </c>
      <c r="Q11" s="249">
        <v>60</v>
      </c>
      <c r="R11" s="283">
        <f t="shared" si="0"/>
        <v>720</v>
      </c>
      <c r="S11" s="283">
        <f>ROUND(P11*Q11/100,2)</f>
        <v>838.96</v>
      </c>
      <c r="T11" s="284">
        <v>116</v>
      </c>
      <c r="U11" s="284">
        <f>ROUND(O11/T11,0)</f>
        <v>10</v>
      </c>
      <c r="V11" s="285">
        <f>ROUND(R11/T11,0)</f>
        <v>6</v>
      </c>
      <c r="W11" s="284">
        <v>1.5</v>
      </c>
      <c r="X11" s="286">
        <f>ROUND(W11*U11,4)</f>
        <v>15</v>
      </c>
      <c r="Y11" s="287">
        <f>V11*W11/4</f>
        <v>2.25</v>
      </c>
      <c r="Z11" s="250">
        <v>724.28</v>
      </c>
      <c r="AA11" s="250">
        <f t="shared" si="3"/>
        <v>1629.63</v>
      </c>
      <c r="AB11" s="251">
        <f t="shared" si="4"/>
        <v>1303.7</v>
      </c>
      <c r="AC11" s="288">
        <f t="shared" si="5"/>
        <v>325.93</v>
      </c>
      <c r="AD11" s="151" t="b">
        <f t="shared" si="6"/>
        <v>1</v>
      </c>
    </row>
    <row r="12" spans="1:30" s="151" customFormat="1" ht="11.25">
      <c r="A12" s="243" t="s">
        <v>170</v>
      </c>
      <c r="B12" s="275"/>
      <c r="C12" s="290" t="s">
        <v>171</v>
      </c>
      <c r="D12" s="276" t="s">
        <v>150</v>
      </c>
      <c r="E12" s="276" t="s">
        <v>151</v>
      </c>
      <c r="F12" s="247" t="s">
        <v>152</v>
      </c>
      <c r="G12" s="277" t="s">
        <v>157</v>
      </c>
      <c r="H12" s="276" t="s">
        <v>158</v>
      </c>
      <c r="I12" s="277" t="s">
        <v>155</v>
      </c>
      <c r="J12" s="276" t="s">
        <v>156</v>
      </c>
      <c r="K12" s="278">
        <v>200</v>
      </c>
      <c r="L12" s="279">
        <v>84.69</v>
      </c>
      <c r="M12" s="280"/>
      <c r="N12" s="280"/>
      <c r="O12" s="281">
        <v>200</v>
      </c>
      <c r="P12" s="282">
        <v>84.69</v>
      </c>
      <c r="Q12" s="249">
        <v>0</v>
      </c>
      <c r="R12" s="283">
        <f t="shared" si="0"/>
        <v>0</v>
      </c>
      <c r="S12" s="283"/>
      <c r="T12" s="284"/>
      <c r="U12" s="284"/>
      <c r="V12" s="285"/>
      <c r="W12" s="284">
        <v>0.025</v>
      </c>
      <c r="X12" s="286">
        <f aca="true" t="shared" si="7" ref="X12:X17">ROUND(O12*W12,4)</f>
        <v>5</v>
      </c>
      <c r="Y12" s="287">
        <f aca="true" t="shared" si="8" ref="Y12:Y17">R12*(W12/4)</f>
        <v>0</v>
      </c>
      <c r="Z12" s="250">
        <v>724.28</v>
      </c>
      <c r="AA12" s="250">
        <f t="shared" si="3"/>
        <v>0</v>
      </c>
      <c r="AB12" s="251">
        <f t="shared" si="4"/>
        <v>0</v>
      </c>
      <c r="AC12" s="288">
        <f t="shared" si="5"/>
        <v>0</v>
      </c>
      <c r="AD12" s="151" t="b">
        <f t="shared" si="6"/>
        <v>1</v>
      </c>
    </row>
    <row r="13" spans="1:30" ht="11.25">
      <c r="A13" s="243" t="s">
        <v>180</v>
      </c>
      <c r="B13" s="275">
        <v>101047785</v>
      </c>
      <c r="C13" s="290" t="s">
        <v>181</v>
      </c>
      <c r="D13" s="276" t="s">
        <v>150</v>
      </c>
      <c r="E13" s="276" t="s">
        <v>151</v>
      </c>
      <c r="F13" s="247" t="s">
        <v>175</v>
      </c>
      <c r="G13" s="277" t="s">
        <v>182</v>
      </c>
      <c r="H13" s="276" t="s">
        <v>183</v>
      </c>
      <c r="I13" s="277" t="s">
        <v>155</v>
      </c>
      <c r="J13" s="276" t="s">
        <v>156</v>
      </c>
      <c r="K13" s="278">
        <v>2000</v>
      </c>
      <c r="L13" s="279">
        <v>1619.38</v>
      </c>
      <c r="M13" s="280"/>
      <c r="N13" s="280"/>
      <c r="O13" s="281">
        <v>2000</v>
      </c>
      <c r="P13" s="282">
        <v>1619.38</v>
      </c>
      <c r="Q13" s="249">
        <v>90</v>
      </c>
      <c r="R13" s="283">
        <f t="shared" si="0"/>
        <v>1800</v>
      </c>
      <c r="S13" s="283">
        <f aca="true" t="shared" si="9" ref="S13:S18">ROUND(P13*Q13/100,2)</f>
        <v>1457.44</v>
      </c>
      <c r="T13" s="284"/>
      <c r="U13" s="284"/>
      <c r="V13" s="285"/>
      <c r="W13" s="284">
        <v>0.02</v>
      </c>
      <c r="X13" s="286">
        <f t="shared" si="7"/>
        <v>40</v>
      </c>
      <c r="Y13" s="287">
        <f t="shared" si="8"/>
        <v>9</v>
      </c>
      <c r="Z13" s="250">
        <v>724.28</v>
      </c>
      <c r="AA13" s="250">
        <f t="shared" si="3"/>
        <v>6518.52</v>
      </c>
      <c r="AB13" s="251">
        <f t="shared" si="4"/>
        <v>5214.82</v>
      </c>
      <c r="AC13" s="288">
        <f t="shared" si="5"/>
        <v>1303.7</v>
      </c>
      <c r="AD13" s="151" t="b">
        <f t="shared" si="6"/>
        <v>1</v>
      </c>
    </row>
    <row r="14" spans="1:30" ht="11.25">
      <c r="A14" s="243" t="s">
        <v>180</v>
      </c>
      <c r="B14" s="275">
        <v>101047785</v>
      </c>
      <c r="C14" s="290" t="s">
        <v>181</v>
      </c>
      <c r="D14" s="276" t="s">
        <v>150</v>
      </c>
      <c r="E14" s="276" t="s">
        <v>151</v>
      </c>
      <c r="F14" s="247" t="s">
        <v>175</v>
      </c>
      <c r="G14" s="277" t="s">
        <v>184</v>
      </c>
      <c r="H14" s="276" t="s">
        <v>185</v>
      </c>
      <c r="I14" s="277" t="s">
        <v>155</v>
      </c>
      <c r="J14" s="276" t="s">
        <v>156</v>
      </c>
      <c r="K14" s="278">
        <v>2000</v>
      </c>
      <c r="L14" s="279">
        <v>1079.87</v>
      </c>
      <c r="M14" s="280"/>
      <c r="N14" s="280"/>
      <c r="O14" s="281">
        <v>2000</v>
      </c>
      <c r="P14" s="282">
        <v>1079.87</v>
      </c>
      <c r="Q14" s="291">
        <v>90</v>
      </c>
      <c r="R14" s="283">
        <f t="shared" si="0"/>
        <v>1800</v>
      </c>
      <c r="S14" s="283">
        <f t="shared" si="9"/>
        <v>971.88</v>
      </c>
      <c r="T14" s="284"/>
      <c r="U14" s="284"/>
      <c r="V14" s="285"/>
      <c r="W14" s="284">
        <v>0.02</v>
      </c>
      <c r="X14" s="286">
        <f t="shared" si="7"/>
        <v>40</v>
      </c>
      <c r="Y14" s="287">
        <f t="shared" si="8"/>
        <v>9</v>
      </c>
      <c r="Z14" s="250">
        <v>724.28</v>
      </c>
      <c r="AA14" s="250">
        <f t="shared" si="3"/>
        <v>6518.52</v>
      </c>
      <c r="AB14" s="251">
        <f t="shared" si="4"/>
        <v>5214.82</v>
      </c>
      <c r="AC14" s="288">
        <f t="shared" si="5"/>
        <v>1303.7</v>
      </c>
      <c r="AD14" s="151" t="b">
        <f t="shared" si="6"/>
        <v>1</v>
      </c>
    </row>
    <row r="15" spans="1:30" s="151" customFormat="1" ht="11.25">
      <c r="A15" s="243" t="s">
        <v>180</v>
      </c>
      <c r="B15" s="275">
        <v>101047785</v>
      </c>
      <c r="C15" s="290" t="s">
        <v>181</v>
      </c>
      <c r="D15" s="276" t="s">
        <v>150</v>
      </c>
      <c r="E15" s="276" t="s">
        <v>151</v>
      </c>
      <c r="F15" s="247" t="s">
        <v>175</v>
      </c>
      <c r="G15" s="277" t="s">
        <v>176</v>
      </c>
      <c r="H15" s="276" t="s">
        <v>177</v>
      </c>
      <c r="I15" s="277" t="s">
        <v>155</v>
      </c>
      <c r="J15" s="276" t="s">
        <v>156</v>
      </c>
      <c r="K15" s="278">
        <v>1000</v>
      </c>
      <c r="L15" s="279">
        <v>318.45</v>
      </c>
      <c r="M15" s="278">
        <v>-500</v>
      </c>
      <c r="N15" s="279">
        <v>-159.22</v>
      </c>
      <c r="O15" s="281">
        <v>500</v>
      </c>
      <c r="P15" s="282">
        <v>159.23</v>
      </c>
      <c r="Q15" s="249">
        <v>75</v>
      </c>
      <c r="R15" s="283">
        <f t="shared" si="0"/>
        <v>375</v>
      </c>
      <c r="S15" s="283">
        <f t="shared" si="9"/>
        <v>119.42</v>
      </c>
      <c r="T15" s="284"/>
      <c r="U15" s="284"/>
      <c r="V15" s="285"/>
      <c r="W15" s="284">
        <v>0.05</v>
      </c>
      <c r="X15" s="286">
        <f t="shared" si="7"/>
        <v>25</v>
      </c>
      <c r="Y15" s="287">
        <f t="shared" si="8"/>
        <v>4.6875</v>
      </c>
      <c r="Z15" s="250">
        <v>724.28</v>
      </c>
      <c r="AA15" s="250">
        <f t="shared" si="3"/>
        <v>3395.06</v>
      </c>
      <c r="AB15" s="251">
        <f t="shared" si="4"/>
        <v>2716.05</v>
      </c>
      <c r="AC15" s="288">
        <f t="shared" si="5"/>
        <v>679.01</v>
      </c>
      <c r="AD15" s="151" t="b">
        <f t="shared" si="6"/>
        <v>1</v>
      </c>
    </row>
    <row r="16" spans="1:30" s="151" customFormat="1" ht="11.25">
      <c r="A16" s="243" t="s">
        <v>180</v>
      </c>
      <c r="B16" s="275">
        <v>101047785</v>
      </c>
      <c r="C16" s="290" t="s">
        <v>181</v>
      </c>
      <c r="D16" s="276" t="s">
        <v>150</v>
      </c>
      <c r="E16" s="276" t="s">
        <v>151</v>
      </c>
      <c r="F16" s="247" t="s">
        <v>175</v>
      </c>
      <c r="G16" s="277" t="s">
        <v>186</v>
      </c>
      <c r="H16" s="276" t="s">
        <v>187</v>
      </c>
      <c r="I16" s="277" t="s">
        <v>155</v>
      </c>
      <c r="J16" s="276" t="s">
        <v>156</v>
      </c>
      <c r="K16" s="278">
        <v>27000</v>
      </c>
      <c r="L16" s="279">
        <v>3826.63</v>
      </c>
      <c r="M16" s="278">
        <v>-4044</v>
      </c>
      <c r="N16" s="279">
        <v>-584.62</v>
      </c>
      <c r="O16" s="281">
        <v>22956</v>
      </c>
      <c r="P16" s="282">
        <v>3242.01</v>
      </c>
      <c r="Q16" s="249">
        <v>75</v>
      </c>
      <c r="R16" s="283">
        <f t="shared" si="0"/>
        <v>17217</v>
      </c>
      <c r="S16" s="283">
        <f t="shared" si="9"/>
        <v>2431.51</v>
      </c>
      <c r="T16" s="284"/>
      <c r="U16" s="284"/>
      <c r="V16" s="285"/>
      <c r="W16" s="284">
        <v>0.05</v>
      </c>
      <c r="X16" s="286">
        <f t="shared" si="7"/>
        <v>1147.8</v>
      </c>
      <c r="Y16" s="287">
        <f t="shared" si="8"/>
        <v>215.2125</v>
      </c>
      <c r="Z16" s="250">
        <v>724.28</v>
      </c>
      <c r="AA16" s="250">
        <f t="shared" si="3"/>
        <v>155874.11</v>
      </c>
      <c r="AB16" s="251">
        <f t="shared" si="4"/>
        <v>124699.29</v>
      </c>
      <c r="AC16" s="288">
        <f t="shared" si="5"/>
        <v>31174.82</v>
      </c>
      <c r="AD16" s="151" t="b">
        <f t="shared" si="6"/>
        <v>1</v>
      </c>
    </row>
    <row r="17" spans="1:30" s="151" customFormat="1" ht="11.25">
      <c r="A17" s="243" t="s">
        <v>180</v>
      </c>
      <c r="B17" s="275">
        <v>101047785</v>
      </c>
      <c r="C17" s="290" t="s">
        <v>181</v>
      </c>
      <c r="D17" s="276" t="s">
        <v>150</v>
      </c>
      <c r="E17" s="276" t="s">
        <v>151</v>
      </c>
      <c r="F17" s="247" t="s">
        <v>152</v>
      </c>
      <c r="G17" s="277" t="s">
        <v>159</v>
      </c>
      <c r="H17" s="276" t="s">
        <v>160</v>
      </c>
      <c r="I17" s="277" t="s">
        <v>155</v>
      </c>
      <c r="J17" s="276" t="s">
        <v>156</v>
      </c>
      <c r="K17" s="278">
        <v>2107</v>
      </c>
      <c r="L17" s="279">
        <v>1565.42</v>
      </c>
      <c r="M17" s="280"/>
      <c r="N17" s="280"/>
      <c r="O17" s="281">
        <v>2107</v>
      </c>
      <c r="P17" s="282">
        <v>1565.42</v>
      </c>
      <c r="Q17" s="249">
        <v>75</v>
      </c>
      <c r="R17" s="283">
        <f t="shared" si="0"/>
        <v>1580</v>
      </c>
      <c r="S17" s="283">
        <f t="shared" si="9"/>
        <v>1174.07</v>
      </c>
      <c r="T17" s="284"/>
      <c r="U17" s="284"/>
      <c r="V17" s="285"/>
      <c r="W17" s="284">
        <v>0.05</v>
      </c>
      <c r="X17" s="286">
        <f t="shared" si="7"/>
        <v>105.35</v>
      </c>
      <c r="Y17" s="287">
        <f t="shared" si="8"/>
        <v>19.75</v>
      </c>
      <c r="Z17" s="250">
        <v>724.28</v>
      </c>
      <c r="AA17" s="250">
        <f t="shared" si="3"/>
        <v>14304.53</v>
      </c>
      <c r="AB17" s="251">
        <f t="shared" si="4"/>
        <v>11443.62</v>
      </c>
      <c r="AC17" s="288">
        <f t="shared" si="5"/>
        <v>2860.91</v>
      </c>
      <c r="AD17" s="151" t="b">
        <f t="shared" si="6"/>
        <v>1</v>
      </c>
    </row>
    <row r="18" spans="1:30" s="151" customFormat="1" ht="11.25">
      <c r="A18" s="243" t="s">
        <v>180</v>
      </c>
      <c r="B18" s="275">
        <v>101047786</v>
      </c>
      <c r="C18" s="290" t="s">
        <v>181</v>
      </c>
      <c r="D18" s="276" t="s">
        <v>150</v>
      </c>
      <c r="E18" s="276" t="s">
        <v>151</v>
      </c>
      <c r="F18" s="247" t="s">
        <v>172</v>
      </c>
      <c r="G18" s="277" t="s">
        <v>188</v>
      </c>
      <c r="H18" s="276" t="s">
        <v>189</v>
      </c>
      <c r="I18" s="277" t="s">
        <v>155</v>
      </c>
      <c r="J18" s="276" t="s">
        <v>156</v>
      </c>
      <c r="K18" s="278">
        <v>5562</v>
      </c>
      <c r="L18" s="279">
        <v>2416.56</v>
      </c>
      <c r="M18" s="280"/>
      <c r="N18" s="280"/>
      <c r="O18" s="281">
        <v>5562</v>
      </c>
      <c r="P18" s="282">
        <v>2416.56</v>
      </c>
      <c r="Q18" s="249">
        <v>60</v>
      </c>
      <c r="R18" s="283">
        <f t="shared" si="0"/>
        <v>3337</v>
      </c>
      <c r="S18" s="283">
        <f t="shared" si="9"/>
        <v>1449.94</v>
      </c>
      <c r="T18" s="284">
        <v>106</v>
      </c>
      <c r="U18" s="284">
        <f>ROUND(O18/T18,0)</f>
        <v>52</v>
      </c>
      <c r="V18" s="285">
        <f>ROUND(R18/T18,0)</f>
        <v>31</v>
      </c>
      <c r="W18" s="284">
        <v>1.5</v>
      </c>
      <c r="X18" s="286">
        <f>ROUND(W18*U18,4)</f>
        <v>78</v>
      </c>
      <c r="Y18" s="287">
        <f>V18*W18/4</f>
        <v>11.625</v>
      </c>
      <c r="Z18" s="250">
        <v>724.28</v>
      </c>
      <c r="AA18" s="250">
        <f t="shared" si="3"/>
        <v>8419.76</v>
      </c>
      <c r="AB18" s="251">
        <f t="shared" si="4"/>
        <v>6735.81</v>
      </c>
      <c r="AC18" s="288">
        <f t="shared" si="5"/>
        <v>1683.95</v>
      </c>
      <c r="AD18" s="151" t="b">
        <f t="shared" si="6"/>
        <v>1</v>
      </c>
    </row>
    <row r="19" spans="1:30" s="151" customFormat="1" ht="11.25">
      <c r="A19" s="243" t="s">
        <v>180</v>
      </c>
      <c r="B19" s="244"/>
      <c r="C19" s="290" t="s">
        <v>181</v>
      </c>
      <c r="D19" s="276" t="s">
        <v>150</v>
      </c>
      <c r="E19" s="276" t="s">
        <v>151</v>
      </c>
      <c r="F19" s="247" t="s">
        <v>190</v>
      </c>
      <c r="G19" s="277" t="s">
        <v>191</v>
      </c>
      <c r="H19" s="276" t="s">
        <v>192</v>
      </c>
      <c r="I19" s="277" t="s">
        <v>155</v>
      </c>
      <c r="J19" s="276" t="s">
        <v>156</v>
      </c>
      <c r="K19" s="278">
        <v>1572</v>
      </c>
      <c r="L19" s="279">
        <v>785.52</v>
      </c>
      <c r="M19" s="280"/>
      <c r="N19" s="280"/>
      <c r="O19" s="281">
        <v>1572</v>
      </c>
      <c r="P19" s="282">
        <v>785.52</v>
      </c>
      <c r="Q19" s="249">
        <v>0</v>
      </c>
      <c r="R19" s="283">
        <f t="shared" si="0"/>
        <v>0</v>
      </c>
      <c r="S19" s="283"/>
      <c r="T19" s="284"/>
      <c r="U19" s="284"/>
      <c r="V19" s="285"/>
      <c r="W19" s="284">
        <v>0.02</v>
      </c>
      <c r="X19" s="286">
        <f>ROUND(O19*W19,4)</f>
        <v>31.44</v>
      </c>
      <c r="Y19" s="287">
        <f>R19*(W19/4)</f>
        <v>0</v>
      </c>
      <c r="Z19" s="250">
        <v>724.28</v>
      </c>
      <c r="AA19" s="250">
        <f t="shared" si="3"/>
        <v>0</v>
      </c>
      <c r="AB19" s="251">
        <f t="shared" si="4"/>
        <v>0</v>
      </c>
      <c r="AC19" s="288">
        <f t="shared" si="5"/>
        <v>0</v>
      </c>
      <c r="AD19" s="151" t="b">
        <f t="shared" si="6"/>
        <v>1</v>
      </c>
    </row>
    <row r="20" spans="1:30" s="151" customFormat="1" ht="11.25">
      <c r="A20" s="243" t="s">
        <v>180</v>
      </c>
      <c r="B20" s="244"/>
      <c r="C20" s="290" t="s">
        <v>181</v>
      </c>
      <c r="D20" s="276" t="s">
        <v>150</v>
      </c>
      <c r="E20" s="276" t="s">
        <v>151</v>
      </c>
      <c r="F20" s="247" t="s">
        <v>193</v>
      </c>
      <c r="G20" s="277" t="s">
        <v>194</v>
      </c>
      <c r="H20" s="276" t="s">
        <v>195</v>
      </c>
      <c r="I20" s="277" t="s">
        <v>155</v>
      </c>
      <c r="J20" s="276" t="s">
        <v>156</v>
      </c>
      <c r="K20" s="278">
        <v>80</v>
      </c>
      <c r="L20" s="279">
        <v>213.54</v>
      </c>
      <c r="M20" s="280"/>
      <c r="N20" s="280"/>
      <c r="O20" s="281">
        <v>80</v>
      </c>
      <c r="P20" s="282">
        <v>213.54</v>
      </c>
      <c r="Q20" s="249">
        <v>0</v>
      </c>
      <c r="R20" s="283">
        <f t="shared" si="0"/>
        <v>0</v>
      </c>
      <c r="S20" s="283"/>
      <c r="T20" s="284"/>
      <c r="U20" s="284"/>
      <c r="V20" s="285"/>
      <c r="W20" s="284">
        <v>0.02</v>
      </c>
      <c r="X20" s="286">
        <f>ROUND(O20*W20,4)</f>
        <v>1.6</v>
      </c>
      <c r="Y20" s="287">
        <f>R20*(W20/4)</f>
        <v>0</v>
      </c>
      <c r="Z20" s="250">
        <v>724.28</v>
      </c>
      <c r="AA20" s="250">
        <f t="shared" si="3"/>
        <v>0</v>
      </c>
      <c r="AB20" s="251">
        <f t="shared" si="4"/>
        <v>0</v>
      </c>
      <c r="AC20" s="288">
        <f t="shared" si="5"/>
        <v>0</v>
      </c>
      <c r="AD20" s="151" t="b">
        <f t="shared" si="6"/>
        <v>1</v>
      </c>
    </row>
    <row r="21" spans="1:30" s="151" customFormat="1" ht="11.25">
      <c r="A21" s="243" t="s">
        <v>180</v>
      </c>
      <c r="B21" s="275"/>
      <c r="C21" s="290" t="s">
        <v>181</v>
      </c>
      <c r="D21" s="276" t="s">
        <v>150</v>
      </c>
      <c r="E21" s="276" t="s">
        <v>151</v>
      </c>
      <c r="F21" s="247" t="s">
        <v>172</v>
      </c>
      <c r="G21" s="277" t="s">
        <v>196</v>
      </c>
      <c r="H21" s="276" t="s">
        <v>197</v>
      </c>
      <c r="I21" s="277" t="s">
        <v>155</v>
      </c>
      <c r="J21" s="276" t="s">
        <v>156</v>
      </c>
      <c r="K21" s="278">
        <v>432</v>
      </c>
      <c r="L21" s="279">
        <v>184.94</v>
      </c>
      <c r="M21" s="280"/>
      <c r="N21" s="280"/>
      <c r="O21" s="281">
        <v>432</v>
      </c>
      <c r="P21" s="282">
        <v>184.94</v>
      </c>
      <c r="Q21" s="249">
        <v>0</v>
      </c>
      <c r="R21" s="283">
        <f t="shared" si="0"/>
        <v>0</v>
      </c>
      <c r="S21" s="283"/>
      <c r="T21" s="284">
        <v>106</v>
      </c>
      <c r="U21" s="284">
        <f>ROUND(O21/T21,0)</f>
        <v>4</v>
      </c>
      <c r="V21" s="285">
        <f>ROUND(R21/T21,0)</f>
        <v>0</v>
      </c>
      <c r="W21" s="284">
        <v>1.5</v>
      </c>
      <c r="X21" s="286">
        <f>ROUND(ROUND(O21/T21,0)*W21,4)</f>
        <v>6</v>
      </c>
      <c r="Y21" s="287">
        <f>V21*W21/4</f>
        <v>0</v>
      </c>
      <c r="Z21" s="250">
        <v>724.28</v>
      </c>
      <c r="AA21" s="250">
        <f t="shared" si="3"/>
        <v>0</v>
      </c>
      <c r="AB21" s="251">
        <f t="shared" si="4"/>
        <v>0</v>
      </c>
      <c r="AC21" s="288">
        <f t="shared" si="5"/>
        <v>0</v>
      </c>
      <c r="AD21" s="151" t="b">
        <f t="shared" si="6"/>
        <v>1</v>
      </c>
    </row>
    <row r="22" spans="1:30" s="151" customFormat="1" ht="11.25">
      <c r="A22" s="243" t="s">
        <v>180</v>
      </c>
      <c r="B22" s="275"/>
      <c r="C22" s="290" t="s">
        <v>181</v>
      </c>
      <c r="D22" s="276" t="s">
        <v>150</v>
      </c>
      <c r="E22" s="276" t="s">
        <v>151</v>
      </c>
      <c r="F22" s="247" t="s">
        <v>172</v>
      </c>
      <c r="G22" s="277" t="s">
        <v>178</v>
      </c>
      <c r="H22" s="276" t="s">
        <v>179</v>
      </c>
      <c r="I22" s="277" t="s">
        <v>155</v>
      </c>
      <c r="J22" s="276" t="s">
        <v>156</v>
      </c>
      <c r="K22" s="278">
        <v>423</v>
      </c>
      <c r="L22" s="279">
        <v>492.89</v>
      </c>
      <c r="M22" s="278">
        <v>-229</v>
      </c>
      <c r="N22" s="279">
        <v>-272.88</v>
      </c>
      <c r="O22" s="281">
        <v>194</v>
      </c>
      <c r="P22" s="282">
        <v>220.01</v>
      </c>
      <c r="Q22" s="249">
        <v>0</v>
      </c>
      <c r="R22" s="283">
        <f t="shared" si="0"/>
        <v>0</v>
      </c>
      <c r="S22" s="283"/>
      <c r="T22" s="284">
        <v>106</v>
      </c>
      <c r="U22" s="284">
        <f>ROUND(O22/T22,0)</f>
        <v>2</v>
      </c>
      <c r="V22" s="285">
        <f>ROUND(R22/T22,0)</f>
        <v>0</v>
      </c>
      <c r="W22" s="284">
        <v>1.5</v>
      </c>
      <c r="X22" s="286">
        <f>ROUND(ROUND(O22/T22,0)*W22,4)</f>
        <v>3</v>
      </c>
      <c r="Y22" s="287">
        <f>V22*W22/4</f>
        <v>0</v>
      </c>
      <c r="Z22" s="250">
        <v>724.28</v>
      </c>
      <c r="AA22" s="250">
        <f t="shared" si="3"/>
        <v>0</v>
      </c>
      <c r="AB22" s="251">
        <f t="shared" si="4"/>
        <v>0</v>
      </c>
      <c r="AC22" s="288">
        <f t="shared" si="5"/>
        <v>0</v>
      </c>
      <c r="AD22" s="151" t="b">
        <f t="shared" si="6"/>
        <v>1</v>
      </c>
    </row>
    <row r="23" spans="1:30" s="151" customFormat="1" ht="11.25">
      <c r="A23" s="243" t="s">
        <v>180</v>
      </c>
      <c r="B23" s="275"/>
      <c r="C23" s="290" t="s">
        <v>181</v>
      </c>
      <c r="D23" s="276" t="s">
        <v>150</v>
      </c>
      <c r="E23" s="276" t="s">
        <v>151</v>
      </c>
      <c r="F23" s="247" t="s">
        <v>172</v>
      </c>
      <c r="G23" s="277" t="s">
        <v>198</v>
      </c>
      <c r="H23" s="276" t="s">
        <v>199</v>
      </c>
      <c r="I23" s="277" t="s">
        <v>155</v>
      </c>
      <c r="J23" s="276" t="s">
        <v>156</v>
      </c>
      <c r="K23" s="278">
        <v>172</v>
      </c>
      <c r="L23" s="279">
        <v>169.66</v>
      </c>
      <c r="M23" s="280"/>
      <c r="N23" s="280"/>
      <c r="O23" s="281">
        <v>172</v>
      </c>
      <c r="P23" s="282">
        <v>169.66</v>
      </c>
      <c r="Q23" s="249">
        <v>0</v>
      </c>
      <c r="R23" s="283">
        <f t="shared" si="0"/>
        <v>0</v>
      </c>
      <c r="S23" s="283"/>
      <c r="T23" s="284">
        <v>106</v>
      </c>
      <c r="U23" s="284">
        <f>ROUND(O23/T23,0)</f>
        <v>2</v>
      </c>
      <c r="V23" s="285">
        <f>ROUND(R23/T23,0)</f>
        <v>0</v>
      </c>
      <c r="W23" s="284">
        <v>1.5</v>
      </c>
      <c r="X23" s="286">
        <f>ROUND(ROUND(O23/T23,0)*W23,4)</f>
        <v>3</v>
      </c>
      <c r="Y23" s="287">
        <f>V23*W23/4</f>
        <v>0</v>
      </c>
      <c r="Z23" s="250">
        <v>724.28</v>
      </c>
      <c r="AA23" s="250">
        <f t="shared" si="3"/>
        <v>0</v>
      </c>
      <c r="AB23" s="251">
        <f t="shared" si="4"/>
        <v>0</v>
      </c>
      <c r="AC23" s="288">
        <f t="shared" si="5"/>
        <v>0</v>
      </c>
      <c r="AD23" s="151" t="b">
        <f t="shared" si="6"/>
        <v>1</v>
      </c>
    </row>
    <row r="24" spans="1:30" s="151" customFormat="1" ht="11.25">
      <c r="A24" s="243" t="s">
        <v>180</v>
      </c>
      <c r="B24" s="275"/>
      <c r="C24" s="290" t="s">
        <v>181</v>
      </c>
      <c r="D24" s="276" t="s">
        <v>150</v>
      </c>
      <c r="E24" s="276" t="s">
        <v>151</v>
      </c>
      <c r="F24" s="247" t="s">
        <v>172</v>
      </c>
      <c r="G24" s="277" t="s">
        <v>200</v>
      </c>
      <c r="H24" s="276" t="s">
        <v>201</v>
      </c>
      <c r="I24" s="277" t="s">
        <v>202</v>
      </c>
      <c r="J24" s="276" t="s">
        <v>203</v>
      </c>
      <c r="K24" s="278">
        <v>430</v>
      </c>
      <c r="L24" s="279">
        <v>593.79</v>
      </c>
      <c r="M24" s="280"/>
      <c r="N24" s="280"/>
      <c r="O24" s="281">
        <v>430</v>
      </c>
      <c r="P24" s="282">
        <v>593.79</v>
      </c>
      <c r="Q24" s="249">
        <v>0</v>
      </c>
      <c r="R24" s="283">
        <f t="shared" si="0"/>
        <v>0</v>
      </c>
      <c r="S24" s="283"/>
      <c r="T24" s="284">
        <v>116</v>
      </c>
      <c r="U24" s="284">
        <f>ROUND(O24/T24,0)</f>
        <v>4</v>
      </c>
      <c r="V24" s="285">
        <f>ROUND(R24/T24,0)</f>
        <v>0</v>
      </c>
      <c r="W24" s="284">
        <v>1.5</v>
      </c>
      <c r="X24" s="286">
        <f>ROUND(ROUND(O24/T24,0)*W24,4)</f>
        <v>6</v>
      </c>
      <c r="Y24" s="287">
        <f>V24*W24/4</f>
        <v>0</v>
      </c>
      <c r="Z24" s="250">
        <v>724.28</v>
      </c>
      <c r="AA24" s="250">
        <f t="shared" si="3"/>
        <v>0</v>
      </c>
      <c r="AB24" s="251">
        <f t="shared" si="4"/>
        <v>0</v>
      </c>
      <c r="AC24" s="288">
        <f t="shared" si="5"/>
        <v>0</v>
      </c>
      <c r="AD24" s="151" t="b">
        <f t="shared" si="6"/>
        <v>1</v>
      </c>
    </row>
    <row r="25" spans="1:30" s="151" customFormat="1" ht="11.25">
      <c r="A25" s="243" t="s">
        <v>180</v>
      </c>
      <c r="B25" s="244"/>
      <c r="C25" s="290" t="s">
        <v>181</v>
      </c>
      <c r="D25" s="276" t="s">
        <v>204</v>
      </c>
      <c r="E25" s="276" t="s">
        <v>205</v>
      </c>
      <c r="F25" s="276"/>
      <c r="G25" s="277" t="s">
        <v>206</v>
      </c>
      <c r="H25" s="276" t="s">
        <v>207</v>
      </c>
      <c r="I25" s="277" t="s">
        <v>208</v>
      </c>
      <c r="J25" s="276" t="s">
        <v>209</v>
      </c>
      <c r="K25" s="278">
        <v>200</v>
      </c>
      <c r="L25" s="279">
        <v>73.47</v>
      </c>
      <c r="M25" s="280"/>
      <c r="N25" s="280"/>
      <c r="O25" s="281">
        <v>200</v>
      </c>
      <c r="P25" s="282">
        <v>73.47</v>
      </c>
      <c r="Q25" s="246"/>
      <c r="R25" s="283">
        <v>0</v>
      </c>
      <c r="S25" s="283"/>
      <c r="T25" s="246"/>
      <c r="U25" s="246"/>
      <c r="V25" s="285"/>
      <c r="W25" s="246">
        <v>0.01</v>
      </c>
      <c r="X25" s="286">
        <f>ROUND(O25*W25,4)</f>
        <v>2</v>
      </c>
      <c r="Y25" s="287">
        <f>R25*(W25/4)</f>
        <v>0</v>
      </c>
      <c r="Z25" s="250">
        <v>724.28</v>
      </c>
      <c r="AA25" s="250">
        <f t="shared" si="3"/>
        <v>0</v>
      </c>
      <c r="AB25" s="251">
        <f t="shared" si="4"/>
        <v>0</v>
      </c>
      <c r="AC25" s="288">
        <f t="shared" si="5"/>
        <v>0</v>
      </c>
      <c r="AD25" s="151" t="b">
        <f t="shared" si="6"/>
        <v>1</v>
      </c>
    </row>
    <row r="26" spans="1:30" s="151" customFormat="1" ht="11.25">
      <c r="A26" s="243" t="s">
        <v>180</v>
      </c>
      <c r="B26" s="244"/>
      <c r="C26" s="290" t="s">
        <v>181</v>
      </c>
      <c r="D26" s="276" t="s">
        <v>204</v>
      </c>
      <c r="E26" s="276" t="s">
        <v>205</v>
      </c>
      <c r="F26" s="276"/>
      <c r="G26" s="277" t="s">
        <v>210</v>
      </c>
      <c r="H26" s="276" t="s">
        <v>211</v>
      </c>
      <c r="I26" s="277" t="s">
        <v>208</v>
      </c>
      <c r="J26" s="276" t="s">
        <v>209</v>
      </c>
      <c r="K26" s="278">
        <v>10</v>
      </c>
      <c r="L26" s="279">
        <v>10.98</v>
      </c>
      <c r="M26" s="280"/>
      <c r="N26" s="280"/>
      <c r="O26" s="281">
        <v>10</v>
      </c>
      <c r="P26" s="282">
        <v>10.98</v>
      </c>
      <c r="Q26" s="246"/>
      <c r="R26" s="283">
        <v>0</v>
      </c>
      <c r="S26" s="283"/>
      <c r="T26" s="246"/>
      <c r="U26" s="246"/>
      <c r="V26" s="285"/>
      <c r="W26" s="246">
        <v>0.015</v>
      </c>
      <c r="X26" s="286">
        <f>ROUND(O26*W26,4)</f>
        <v>0.15</v>
      </c>
      <c r="Y26" s="287">
        <f>R26*(W26/4)</f>
        <v>0</v>
      </c>
      <c r="Z26" s="250">
        <v>724.28</v>
      </c>
      <c r="AA26" s="250">
        <f t="shared" si="3"/>
        <v>0</v>
      </c>
      <c r="AB26" s="251">
        <f t="shared" si="4"/>
        <v>0</v>
      </c>
      <c r="AC26" s="288">
        <f t="shared" si="5"/>
        <v>0</v>
      </c>
      <c r="AD26" s="151" t="b">
        <f t="shared" si="6"/>
        <v>1</v>
      </c>
    </row>
    <row r="27" spans="1:30" s="151" customFormat="1" ht="11.25">
      <c r="A27" s="243" t="s">
        <v>212</v>
      </c>
      <c r="B27" s="275">
        <v>101047788</v>
      </c>
      <c r="C27" s="276" t="s">
        <v>213</v>
      </c>
      <c r="D27" s="276" t="s">
        <v>150</v>
      </c>
      <c r="E27" s="276" t="s">
        <v>151</v>
      </c>
      <c r="F27" s="247" t="s">
        <v>172</v>
      </c>
      <c r="G27" s="277" t="s">
        <v>173</v>
      </c>
      <c r="H27" s="276" t="s">
        <v>174</v>
      </c>
      <c r="I27" s="277" t="s">
        <v>155</v>
      </c>
      <c r="J27" s="276" t="s">
        <v>156</v>
      </c>
      <c r="K27" s="278">
        <v>1300</v>
      </c>
      <c r="L27" s="279">
        <v>836.81</v>
      </c>
      <c r="M27" s="280"/>
      <c r="N27" s="280"/>
      <c r="O27" s="281">
        <v>1300</v>
      </c>
      <c r="P27" s="282">
        <v>836.81</v>
      </c>
      <c r="Q27" s="249">
        <v>100</v>
      </c>
      <c r="R27" s="283">
        <f aca="true" t="shared" si="10" ref="R27:R51">ROUND(O27*Q27/100,0)</f>
        <v>1300</v>
      </c>
      <c r="S27" s="283">
        <f>ROUND(P27*Q27/100,2)</f>
        <v>836.81</v>
      </c>
      <c r="T27" s="284">
        <v>129</v>
      </c>
      <c r="U27" s="284">
        <f>ROUND(O27/T27,0)</f>
        <v>10</v>
      </c>
      <c r="V27" s="285">
        <f>ROUND(R27/T27,0)</f>
        <v>10</v>
      </c>
      <c r="W27" s="284">
        <v>1.5</v>
      </c>
      <c r="X27" s="286">
        <f>ROUND(W27*U27,4)</f>
        <v>15</v>
      </c>
      <c r="Y27" s="287">
        <f>V27*W27/4</f>
        <v>3.75</v>
      </c>
      <c r="Z27" s="250">
        <v>724.28</v>
      </c>
      <c r="AA27" s="250">
        <f t="shared" si="3"/>
        <v>2716.05</v>
      </c>
      <c r="AB27" s="251">
        <f t="shared" si="4"/>
        <v>2172.84</v>
      </c>
      <c r="AC27" s="288">
        <f t="shared" si="5"/>
        <v>543.21</v>
      </c>
      <c r="AD27" s="151" t="b">
        <f t="shared" si="6"/>
        <v>1</v>
      </c>
    </row>
    <row r="28" spans="1:30" s="151" customFormat="1" ht="11.25">
      <c r="A28" s="243" t="s">
        <v>212</v>
      </c>
      <c r="B28" s="275">
        <v>101047787</v>
      </c>
      <c r="C28" s="276" t="s">
        <v>213</v>
      </c>
      <c r="D28" s="276" t="s">
        <v>150</v>
      </c>
      <c r="E28" s="276" t="s">
        <v>151</v>
      </c>
      <c r="F28" s="247" t="s">
        <v>175</v>
      </c>
      <c r="G28" s="277" t="s">
        <v>182</v>
      </c>
      <c r="H28" s="276" t="s">
        <v>183</v>
      </c>
      <c r="I28" s="277" t="s">
        <v>155</v>
      </c>
      <c r="J28" s="276" t="s">
        <v>156</v>
      </c>
      <c r="K28" s="278">
        <v>1250</v>
      </c>
      <c r="L28" s="279">
        <v>1008.35</v>
      </c>
      <c r="M28" s="280"/>
      <c r="N28" s="280"/>
      <c r="O28" s="281">
        <v>1250</v>
      </c>
      <c r="P28" s="282">
        <v>1008.35</v>
      </c>
      <c r="Q28" s="249">
        <v>90</v>
      </c>
      <c r="R28" s="283">
        <f t="shared" si="10"/>
        <v>1125</v>
      </c>
      <c r="S28" s="283">
        <f>ROUND(P28*Q28/100,2)</f>
        <v>907.52</v>
      </c>
      <c r="T28" s="284"/>
      <c r="U28" s="284"/>
      <c r="V28" s="285"/>
      <c r="W28" s="284">
        <v>0.02</v>
      </c>
      <c r="X28" s="286">
        <f>ROUND(O28*W28,4)</f>
        <v>25</v>
      </c>
      <c r="Y28" s="287">
        <f>R28*(W28/4)</f>
        <v>5.625</v>
      </c>
      <c r="Z28" s="250">
        <v>724.28</v>
      </c>
      <c r="AA28" s="250">
        <f t="shared" si="3"/>
        <v>4074.08</v>
      </c>
      <c r="AB28" s="251">
        <f t="shared" si="4"/>
        <v>3259.26</v>
      </c>
      <c r="AC28" s="288">
        <f t="shared" si="5"/>
        <v>814.82</v>
      </c>
      <c r="AD28" s="151" t="b">
        <f t="shared" si="6"/>
        <v>1</v>
      </c>
    </row>
    <row r="29" spans="1:30" s="151" customFormat="1" ht="11.25">
      <c r="A29" s="243" t="s">
        <v>212</v>
      </c>
      <c r="B29" s="275">
        <v>101047787</v>
      </c>
      <c r="C29" s="276" t="s">
        <v>213</v>
      </c>
      <c r="D29" s="276" t="s">
        <v>150</v>
      </c>
      <c r="E29" s="276" t="s">
        <v>151</v>
      </c>
      <c r="F29" s="247" t="s">
        <v>175</v>
      </c>
      <c r="G29" s="277" t="s">
        <v>186</v>
      </c>
      <c r="H29" s="276" t="s">
        <v>187</v>
      </c>
      <c r="I29" s="277" t="s">
        <v>155</v>
      </c>
      <c r="J29" s="276" t="s">
        <v>156</v>
      </c>
      <c r="K29" s="278">
        <v>14275</v>
      </c>
      <c r="L29" s="279">
        <v>2023.15</v>
      </c>
      <c r="M29" s="280"/>
      <c r="N29" s="280"/>
      <c r="O29" s="281">
        <v>14275</v>
      </c>
      <c r="P29" s="282">
        <v>2023.15</v>
      </c>
      <c r="Q29" s="249">
        <v>75</v>
      </c>
      <c r="R29" s="283">
        <f t="shared" si="10"/>
        <v>10706</v>
      </c>
      <c r="S29" s="283">
        <f>ROUND(P29*Q29/100,2)</f>
        <v>1517.36</v>
      </c>
      <c r="T29" s="284"/>
      <c r="U29" s="284"/>
      <c r="V29" s="285"/>
      <c r="W29" s="284">
        <v>0.05</v>
      </c>
      <c r="X29" s="286">
        <f>ROUND(O29*W29,4)</f>
        <v>713.75</v>
      </c>
      <c r="Y29" s="287">
        <f>R29*(W29/4)</f>
        <v>133.82500000000002</v>
      </c>
      <c r="Z29" s="250">
        <v>724.28</v>
      </c>
      <c r="AA29" s="250">
        <f t="shared" si="3"/>
        <v>96926.77</v>
      </c>
      <c r="AB29" s="251">
        <f t="shared" si="4"/>
        <v>77541.42</v>
      </c>
      <c r="AC29" s="288">
        <f t="shared" si="5"/>
        <v>19385.35</v>
      </c>
      <c r="AD29" s="151" t="b">
        <f t="shared" si="6"/>
        <v>1</v>
      </c>
    </row>
    <row r="30" spans="1:30" s="151" customFormat="1" ht="11.25">
      <c r="A30" s="243" t="s">
        <v>212</v>
      </c>
      <c r="B30" s="275">
        <v>101047787</v>
      </c>
      <c r="C30" s="276" t="s">
        <v>213</v>
      </c>
      <c r="D30" s="276" t="s">
        <v>150</v>
      </c>
      <c r="E30" s="276" t="s">
        <v>151</v>
      </c>
      <c r="F30" s="247" t="s">
        <v>152</v>
      </c>
      <c r="G30" s="277" t="s">
        <v>157</v>
      </c>
      <c r="H30" s="276" t="s">
        <v>158</v>
      </c>
      <c r="I30" s="277" t="s">
        <v>155</v>
      </c>
      <c r="J30" s="276" t="s">
        <v>156</v>
      </c>
      <c r="K30" s="278">
        <v>1933</v>
      </c>
      <c r="L30" s="279">
        <v>818.49</v>
      </c>
      <c r="M30" s="280"/>
      <c r="N30" s="280"/>
      <c r="O30" s="281">
        <v>1933</v>
      </c>
      <c r="P30" s="282">
        <v>818.49</v>
      </c>
      <c r="Q30" s="249">
        <v>75</v>
      </c>
      <c r="R30" s="283">
        <f t="shared" si="10"/>
        <v>1450</v>
      </c>
      <c r="S30" s="283">
        <f>ROUND(P30*Q30/100,2)</f>
        <v>613.87</v>
      </c>
      <c r="T30" s="284"/>
      <c r="U30" s="284"/>
      <c r="V30" s="285"/>
      <c r="W30" s="284">
        <v>0.025</v>
      </c>
      <c r="X30" s="286">
        <f>ROUND(O30*W30,4)</f>
        <v>48.325</v>
      </c>
      <c r="Y30" s="287">
        <f>R30*(W30/4)</f>
        <v>9.0625</v>
      </c>
      <c r="Z30" s="250">
        <v>724.28</v>
      </c>
      <c r="AA30" s="250">
        <f t="shared" si="3"/>
        <v>6563.79</v>
      </c>
      <c r="AB30" s="251">
        <f t="shared" si="4"/>
        <v>5251.03</v>
      </c>
      <c r="AC30" s="288">
        <f t="shared" si="5"/>
        <v>1312.76</v>
      </c>
      <c r="AD30" s="151" t="b">
        <f t="shared" si="6"/>
        <v>1</v>
      </c>
    </row>
    <row r="31" spans="1:30" s="151" customFormat="1" ht="11.25">
      <c r="A31" s="243" t="s">
        <v>212</v>
      </c>
      <c r="B31" s="275">
        <v>101047788</v>
      </c>
      <c r="C31" s="276" t="s">
        <v>213</v>
      </c>
      <c r="D31" s="276" t="s">
        <v>150</v>
      </c>
      <c r="E31" s="276" t="s">
        <v>151</v>
      </c>
      <c r="F31" s="247" t="s">
        <v>172</v>
      </c>
      <c r="G31" s="277" t="s">
        <v>188</v>
      </c>
      <c r="H31" s="276" t="s">
        <v>189</v>
      </c>
      <c r="I31" s="277" t="s">
        <v>155</v>
      </c>
      <c r="J31" s="276" t="s">
        <v>156</v>
      </c>
      <c r="K31" s="278">
        <v>1042</v>
      </c>
      <c r="L31" s="279">
        <v>452.72</v>
      </c>
      <c r="M31" s="280"/>
      <c r="N31" s="280"/>
      <c r="O31" s="281">
        <v>1042</v>
      </c>
      <c r="P31" s="282">
        <v>452.72</v>
      </c>
      <c r="Q31" s="249">
        <v>60</v>
      </c>
      <c r="R31" s="283">
        <f t="shared" si="10"/>
        <v>625</v>
      </c>
      <c r="S31" s="283">
        <f>ROUND(P31*Q31/100,2)</f>
        <v>271.63</v>
      </c>
      <c r="T31" s="284">
        <v>129</v>
      </c>
      <c r="U31" s="284">
        <f>ROUND(O31/T31,0)</f>
        <v>8</v>
      </c>
      <c r="V31" s="285">
        <f>ROUND(R31/T31,0)</f>
        <v>5</v>
      </c>
      <c r="W31" s="284">
        <v>1.5</v>
      </c>
      <c r="X31" s="286">
        <f>ROUND(W31*U31,4)</f>
        <v>12</v>
      </c>
      <c r="Y31" s="287">
        <f>V31*W31/4</f>
        <v>1.875</v>
      </c>
      <c r="Z31" s="250">
        <v>724.28</v>
      </c>
      <c r="AA31" s="250">
        <f t="shared" si="3"/>
        <v>1358.03</v>
      </c>
      <c r="AB31" s="251">
        <f t="shared" si="4"/>
        <v>1086.42</v>
      </c>
      <c r="AC31" s="288">
        <f t="shared" si="5"/>
        <v>271.61</v>
      </c>
      <c r="AD31" s="151" t="b">
        <f t="shared" si="6"/>
        <v>1</v>
      </c>
    </row>
    <row r="32" spans="1:30" s="151" customFormat="1" ht="11.25">
      <c r="A32" s="243" t="s">
        <v>212</v>
      </c>
      <c r="B32" s="275"/>
      <c r="C32" s="276" t="s">
        <v>213</v>
      </c>
      <c r="D32" s="276" t="s">
        <v>150</v>
      </c>
      <c r="E32" s="276" t="s">
        <v>151</v>
      </c>
      <c r="F32" s="247" t="s">
        <v>175</v>
      </c>
      <c r="G32" s="277" t="s">
        <v>184</v>
      </c>
      <c r="H32" s="276" t="s">
        <v>185</v>
      </c>
      <c r="I32" s="277" t="s">
        <v>155</v>
      </c>
      <c r="J32" s="276" t="s">
        <v>156</v>
      </c>
      <c r="K32" s="278">
        <v>500</v>
      </c>
      <c r="L32" s="279">
        <v>256.48</v>
      </c>
      <c r="M32" s="280"/>
      <c r="N32" s="280"/>
      <c r="O32" s="281">
        <v>500</v>
      </c>
      <c r="P32" s="282">
        <v>256.48</v>
      </c>
      <c r="Q32" s="291">
        <v>0</v>
      </c>
      <c r="R32" s="283">
        <f t="shared" si="10"/>
        <v>0</v>
      </c>
      <c r="S32" s="283"/>
      <c r="T32" s="284"/>
      <c r="U32" s="284"/>
      <c r="V32" s="285"/>
      <c r="W32" s="284">
        <v>0.02</v>
      </c>
      <c r="X32" s="286">
        <f>ROUND(O32*W32,4)</f>
        <v>10</v>
      </c>
      <c r="Y32" s="287">
        <f>R32*(W32/4)</f>
        <v>0</v>
      </c>
      <c r="Z32" s="250">
        <v>724.28</v>
      </c>
      <c r="AA32" s="250">
        <f t="shared" si="3"/>
        <v>0</v>
      </c>
      <c r="AB32" s="251">
        <f t="shared" si="4"/>
        <v>0</v>
      </c>
      <c r="AC32" s="288">
        <f t="shared" si="5"/>
        <v>0</v>
      </c>
      <c r="AD32" s="151" t="b">
        <f t="shared" si="6"/>
        <v>1</v>
      </c>
    </row>
    <row r="33" spans="1:30" s="151" customFormat="1" ht="11.25">
      <c r="A33" s="243" t="s">
        <v>212</v>
      </c>
      <c r="B33" s="244"/>
      <c r="C33" s="276" t="s">
        <v>213</v>
      </c>
      <c r="D33" s="276" t="s">
        <v>150</v>
      </c>
      <c r="E33" s="276" t="s">
        <v>151</v>
      </c>
      <c r="F33" s="247" t="s">
        <v>190</v>
      </c>
      <c r="G33" s="277" t="s">
        <v>191</v>
      </c>
      <c r="H33" s="276" t="s">
        <v>192</v>
      </c>
      <c r="I33" s="277" t="s">
        <v>155</v>
      </c>
      <c r="J33" s="276" t="s">
        <v>156</v>
      </c>
      <c r="K33" s="278">
        <v>1000</v>
      </c>
      <c r="L33" s="279">
        <v>499.69</v>
      </c>
      <c r="M33" s="278">
        <v>289</v>
      </c>
      <c r="N33" s="279">
        <v>132.26</v>
      </c>
      <c r="O33" s="281">
        <v>1289</v>
      </c>
      <c r="P33" s="282">
        <v>631.95</v>
      </c>
      <c r="Q33" s="249">
        <v>0</v>
      </c>
      <c r="R33" s="283">
        <f t="shared" si="10"/>
        <v>0</v>
      </c>
      <c r="S33" s="283"/>
      <c r="T33" s="284"/>
      <c r="U33" s="284"/>
      <c r="V33" s="285"/>
      <c r="W33" s="284">
        <v>0.02</v>
      </c>
      <c r="X33" s="286">
        <f>ROUND(O33*W33,4)</f>
        <v>25.78</v>
      </c>
      <c r="Y33" s="287">
        <f>R33*(W33/4)</f>
        <v>0</v>
      </c>
      <c r="Z33" s="250">
        <v>724.28</v>
      </c>
      <c r="AA33" s="250">
        <f t="shared" si="3"/>
        <v>0</v>
      </c>
      <c r="AB33" s="251">
        <f t="shared" si="4"/>
        <v>0</v>
      </c>
      <c r="AC33" s="288">
        <f t="shared" si="5"/>
        <v>0</v>
      </c>
      <c r="AD33" s="151" t="b">
        <f t="shared" si="6"/>
        <v>1</v>
      </c>
    </row>
    <row r="34" spans="1:30" s="151" customFormat="1" ht="11.25">
      <c r="A34" s="243" t="s">
        <v>212</v>
      </c>
      <c r="B34" s="275"/>
      <c r="C34" s="276" t="s">
        <v>213</v>
      </c>
      <c r="D34" s="276" t="s">
        <v>150</v>
      </c>
      <c r="E34" s="276" t="s">
        <v>151</v>
      </c>
      <c r="F34" s="247" t="s">
        <v>172</v>
      </c>
      <c r="G34" s="277" t="s">
        <v>196</v>
      </c>
      <c r="H34" s="276" t="s">
        <v>197</v>
      </c>
      <c r="I34" s="277" t="s">
        <v>155</v>
      </c>
      <c r="J34" s="276" t="s">
        <v>156</v>
      </c>
      <c r="K34" s="278">
        <v>360</v>
      </c>
      <c r="L34" s="279">
        <v>154.12</v>
      </c>
      <c r="M34" s="280"/>
      <c r="N34" s="280"/>
      <c r="O34" s="281">
        <v>360</v>
      </c>
      <c r="P34" s="282">
        <v>154.12</v>
      </c>
      <c r="Q34" s="249">
        <v>0</v>
      </c>
      <c r="R34" s="283">
        <f t="shared" si="10"/>
        <v>0</v>
      </c>
      <c r="S34" s="283"/>
      <c r="T34" s="284">
        <v>129</v>
      </c>
      <c r="U34" s="284">
        <f>ROUND(O34/T34,0)</f>
        <v>3</v>
      </c>
      <c r="V34" s="285">
        <f>ROUND(R34/T34,0)</f>
        <v>0</v>
      </c>
      <c r="W34" s="284">
        <v>1.5</v>
      </c>
      <c r="X34" s="286">
        <f>ROUND(ROUND(O34/T34,0)*W34,4)</f>
        <v>4.5</v>
      </c>
      <c r="Y34" s="287">
        <f>V34*W34/4</f>
        <v>0</v>
      </c>
      <c r="Z34" s="250">
        <v>724.28</v>
      </c>
      <c r="AA34" s="250">
        <f t="shared" si="3"/>
        <v>0</v>
      </c>
      <c r="AB34" s="251">
        <f t="shared" si="4"/>
        <v>0</v>
      </c>
      <c r="AC34" s="288">
        <f t="shared" si="5"/>
        <v>0</v>
      </c>
      <c r="AD34" s="151" t="b">
        <f t="shared" si="6"/>
        <v>1</v>
      </c>
    </row>
    <row r="35" spans="1:30" s="151" customFormat="1" ht="11.25">
      <c r="A35" s="243" t="s">
        <v>212</v>
      </c>
      <c r="B35" s="275"/>
      <c r="C35" s="276" t="s">
        <v>213</v>
      </c>
      <c r="D35" s="276" t="s">
        <v>150</v>
      </c>
      <c r="E35" s="276" t="s">
        <v>151</v>
      </c>
      <c r="F35" s="247" t="s">
        <v>172</v>
      </c>
      <c r="G35" s="277" t="s">
        <v>178</v>
      </c>
      <c r="H35" s="276" t="s">
        <v>179</v>
      </c>
      <c r="I35" s="277" t="s">
        <v>155</v>
      </c>
      <c r="J35" s="276" t="s">
        <v>156</v>
      </c>
      <c r="K35" s="278">
        <v>124</v>
      </c>
      <c r="L35" s="279">
        <v>144.49</v>
      </c>
      <c r="M35" s="278">
        <v>-100</v>
      </c>
      <c r="N35" s="279">
        <v>-119.99</v>
      </c>
      <c r="O35" s="281">
        <v>24</v>
      </c>
      <c r="P35" s="282">
        <v>24.5</v>
      </c>
      <c r="Q35" s="249">
        <v>0</v>
      </c>
      <c r="R35" s="283">
        <f t="shared" si="10"/>
        <v>0</v>
      </c>
      <c r="S35" s="283"/>
      <c r="T35" s="284">
        <v>129</v>
      </c>
      <c r="U35" s="284">
        <f>ROUND(O35/T35,0)</f>
        <v>0</v>
      </c>
      <c r="V35" s="285">
        <f>ROUND(R35/T35,0)</f>
        <v>0</v>
      </c>
      <c r="W35" s="284">
        <v>1.5</v>
      </c>
      <c r="X35" s="286">
        <f>ROUND(ROUND(O35/T35,0)*W35,4)</f>
        <v>0</v>
      </c>
      <c r="Y35" s="287">
        <f>V35*W35/4</f>
        <v>0</v>
      </c>
      <c r="Z35" s="250">
        <v>724.28</v>
      </c>
      <c r="AA35" s="250">
        <f t="shared" si="3"/>
        <v>0</v>
      </c>
      <c r="AB35" s="251">
        <f t="shared" si="4"/>
        <v>0</v>
      </c>
      <c r="AC35" s="288">
        <f t="shared" si="5"/>
        <v>0</v>
      </c>
      <c r="AD35" s="151" t="b">
        <f t="shared" si="6"/>
        <v>1</v>
      </c>
    </row>
    <row r="36" spans="1:30" s="151" customFormat="1" ht="11.25">
      <c r="A36" s="243" t="s">
        <v>212</v>
      </c>
      <c r="B36" s="275"/>
      <c r="C36" s="276" t="s">
        <v>213</v>
      </c>
      <c r="D36" s="276" t="s">
        <v>150</v>
      </c>
      <c r="E36" s="276" t="s">
        <v>151</v>
      </c>
      <c r="F36" s="247" t="s">
        <v>172</v>
      </c>
      <c r="G36" s="277" t="s">
        <v>214</v>
      </c>
      <c r="H36" s="276" t="s">
        <v>215</v>
      </c>
      <c r="I36" s="277" t="s">
        <v>155</v>
      </c>
      <c r="J36" s="276" t="s">
        <v>156</v>
      </c>
      <c r="K36" s="278">
        <v>643</v>
      </c>
      <c r="L36" s="279">
        <v>368.03</v>
      </c>
      <c r="M36" s="278">
        <v>-553</v>
      </c>
      <c r="N36" s="279">
        <v>-316.51</v>
      </c>
      <c r="O36" s="281">
        <v>90</v>
      </c>
      <c r="P36" s="282">
        <v>51.52</v>
      </c>
      <c r="Q36" s="249">
        <v>0</v>
      </c>
      <c r="R36" s="283">
        <f t="shared" si="10"/>
        <v>0</v>
      </c>
      <c r="S36" s="283"/>
      <c r="T36" s="284">
        <v>129</v>
      </c>
      <c r="U36" s="284">
        <f>ROUND(O36/T36,0)</f>
        <v>1</v>
      </c>
      <c r="V36" s="285">
        <f>ROUND(R36/T36,0)</f>
        <v>0</v>
      </c>
      <c r="W36" s="284">
        <v>1.5</v>
      </c>
      <c r="X36" s="286">
        <f>ROUND(ROUND(O36/T36,0)*W36,4)</f>
        <v>1.5</v>
      </c>
      <c r="Y36" s="287">
        <f>V36*W36/4</f>
        <v>0</v>
      </c>
      <c r="Z36" s="250">
        <v>724.28</v>
      </c>
      <c r="AA36" s="250">
        <f t="shared" si="3"/>
        <v>0</v>
      </c>
      <c r="AB36" s="251">
        <f t="shared" si="4"/>
        <v>0</v>
      </c>
      <c r="AC36" s="288">
        <f t="shared" si="5"/>
        <v>0</v>
      </c>
      <c r="AD36" s="151" t="b">
        <f t="shared" si="6"/>
        <v>1</v>
      </c>
    </row>
    <row r="37" spans="1:30" ht="11.25">
      <c r="A37" s="243" t="s">
        <v>216</v>
      </c>
      <c r="B37" s="275">
        <v>101047789</v>
      </c>
      <c r="C37" s="276" t="s">
        <v>217</v>
      </c>
      <c r="D37" s="276" t="s">
        <v>150</v>
      </c>
      <c r="E37" s="276" t="s">
        <v>151</v>
      </c>
      <c r="F37" s="247" t="s">
        <v>175</v>
      </c>
      <c r="G37" s="277" t="s">
        <v>218</v>
      </c>
      <c r="H37" s="276" t="s">
        <v>219</v>
      </c>
      <c r="I37" s="277" t="s">
        <v>155</v>
      </c>
      <c r="J37" s="276" t="s">
        <v>156</v>
      </c>
      <c r="K37" s="278">
        <v>1289</v>
      </c>
      <c r="L37" s="279">
        <v>350.86</v>
      </c>
      <c r="M37" s="278">
        <v>1412</v>
      </c>
      <c r="N37" s="279">
        <v>384.92</v>
      </c>
      <c r="O37" s="281">
        <v>2701</v>
      </c>
      <c r="P37" s="282">
        <v>735.78</v>
      </c>
      <c r="Q37" s="249">
        <v>100</v>
      </c>
      <c r="R37" s="283">
        <f t="shared" si="10"/>
        <v>2701</v>
      </c>
      <c r="S37" s="283">
        <f aca="true" t="shared" si="11" ref="S37:S52">ROUND(P37*Q37/100,2)</f>
        <v>735.78</v>
      </c>
      <c r="T37" s="284"/>
      <c r="U37" s="284"/>
      <c r="V37" s="285"/>
      <c r="W37" s="284">
        <v>0.02</v>
      </c>
      <c r="X37" s="286">
        <f>ROUND(O37*W37,4)</f>
        <v>54.02</v>
      </c>
      <c r="Y37" s="287">
        <f>R37*(W37/4)</f>
        <v>13.505</v>
      </c>
      <c r="Z37" s="250">
        <v>724.28</v>
      </c>
      <c r="AA37" s="250">
        <f t="shared" si="3"/>
        <v>9781.4</v>
      </c>
      <c r="AB37" s="251">
        <f t="shared" si="4"/>
        <v>7825.12</v>
      </c>
      <c r="AC37" s="288">
        <f t="shared" si="5"/>
        <v>1956.28</v>
      </c>
      <c r="AD37" s="151" t="b">
        <f t="shared" si="6"/>
        <v>1</v>
      </c>
    </row>
    <row r="38" spans="1:30" ht="11.25">
      <c r="A38" s="243" t="s">
        <v>216</v>
      </c>
      <c r="B38" s="275">
        <v>101047789</v>
      </c>
      <c r="C38" s="276" t="s">
        <v>217</v>
      </c>
      <c r="D38" s="276" t="s">
        <v>150</v>
      </c>
      <c r="E38" s="276" t="s">
        <v>151</v>
      </c>
      <c r="F38" s="247" t="s">
        <v>152</v>
      </c>
      <c r="G38" s="277" t="s">
        <v>153</v>
      </c>
      <c r="H38" s="276" t="s">
        <v>154</v>
      </c>
      <c r="I38" s="277" t="s">
        <v>155</v>
      </c>
      <c r="J38" s="276" t="s">
        <v>156</v>
      </c>
      <c r="K38" s="278">
        <v>844</v>
      </c>
      <c r="L38" s="279">
        <v>544.19</v>
      </c>
      <c r="M38" s="278">
        <v>6395</v>
      </c>
      <c r="N38" s="279">
        <v>5341.12</v>
      </c>
      <c r="O38" s="281">
        <v>7239</v>
      </c>
      <c r="P38" s="282">
        <v>5885.31</v>
      </c>
      <c r="Q38" s="249">
        <v>100</v>
      </c>
      <c r="R38" s="283">
        <f t="shared" si="10"/>
        <v>7239</v>
      </c>
      <c r="S38" s="283">
        <f t="shared" si="11"/>
        <v>5885.31</v>
      </c>
      <c r="T38" s="284"/>
      <c r="U38" s="284"/>
      <c r="V38" s="285"/>
      <c r="W38" s="284">
        <v>0.05</v>
      </c>
      <c r="X38" s="286">
        <f>ROUND(O38*W38,4)</f>
        <v>361.95</v>
      </c>
      <c r="Y38" s="287">
        <f>R38*(W38/4)</f>
        <v>90.48750000000001</v>
      </c>
      <c r="Z38" s="250">
        <v>724.28</v>
      </c>
      <c r="AA38" s="250">
        <f t="shared" si="3"/>
        <v>65538.29</v>
      </c>
      <c r="AB38" s="251">
        <f t="shared" si="4"/>
        <v>52430.63</v>
      </c>
      <c r="AC38" s="288">
        <f t="shared" si="5"/>
        <v>13107.66</v>
      </c>
      <c r="AD38" s="151" t="b">
        <f t="shared" si="6"/>
        <v>1</v>
      </c>
    </row>
    <row r="39" spans="1:30" ht="11.25">
      <c r="A39" s="243" t="s">
        <v>216</v>
      </c>
      <c r="B39" s="275">
        <v>101047789</v>
      </c>
      <c r="C39" s="276" t="s">
        <v>217</v>
      </c>
      <c r="D39" s="276" t="s">
        <v>150</v>
      </c>
      <c r="E39" s="276" t="s">
        <v>151</v>
      </c>
      <c r="F39" s="247" t="s">
        <v>152</v>
      </c>
      <c r="G39" s="277" t="s">
        <v>220</v>
      </c>
      <c r="H39" s="276" t="s">
        <v>221</v>
      </c>
      <c r="I39" s="277" t="s">
        <v>155</v>
      </c>
      <c r="J39" s="276" t="s">
        <v>156</v>
      </c>
      <c r="K39" s="280"/>
      <c r="L39" s="280"/>
      <c r="M39" s="278">
        <v>2520</v>
      </c>
      <c r="N39" s="279">
        <v>1549.26</v>
      </c>
      <c r="O39" s="281">
        <v>2520</v>
      </c>
      <c r="P39" s="282">
        <v>1549.26</v>
      </c>
      <c r="Q39" s="249">
        <v>100</v>
      </c>
      <c r="R39" s="283">
        <f t="shared" si="10"/>
        <v>2520</v>
      </c>
      <c r="S39" s="283">
        <f t="shared" si="11"/>
        <v>1549.26</v>
      </c>
      <c r="T39" s="284"/>
      <c r="U39" s="284"/>
      <c r="V39" s="285"/>
      <c r="W39" s="284">
        <v>0.075</v>
      </c>
      <c r="X39" s="286">
        <f>ROUND(O39*W39,4)</f>
        <v>189</v>
      </c>
      <c r="Y39" s="287">
        <f>R39*(W39/4)</f>
        <v>47.25</v>
      </c>
      <c r="Z39" s="250">
        <v>724.28</v>
      </c>
      <c r="AA39" s="250">
        <f t="shared" si="3"/>
        <v>34222.23</v>
      </c>
      <c r="AB39" s="251">
        <f t="shared" si="4"/>
        <v>27377.78</v>
      </c>
      <c r="AC39" s="288">
        <f t="shared" si="5"/>
        <v>6844.45</v>
      </c>
      <c r="AD39" s="151" t="b">
        <f t="shared" si="6"/>
        <v>1</v>
      </c>
    </row>
    <row r="40" spans="1:30" ht="11.25">
      <c r="A40" s="243" t="s">
        <v>216</v>
      </c>
      <c r="B40" s="275">
        <v>101047789</v>
      </c>
      <c r="C40" s="276" t="s">
        <v>217</v>
      </c>
      <c r="D40" s="276" t="s">
        <v>150</v>
      </c>
      <c r="E40" s="276" t="s">
        <v>151</v>
      </c>
      <c r="F40" s="247" t="s">
        <v>152</v>
      </c>
      <c r="G40" s="277" t="s">
        <v>222</v>
      </c>
      <c r="H40" s="276" t="s">
        <v>223</v>
      </c>
      <c r="I40" s="277" t="s">
        <v>155</v>
      </c>
      <c r="J40" s="276" t="s">
        <v>156</v>
      </c>
      <c r="K40" s="280"/>
      <c r="L40" s="280"/>
      <c r="M40" s="278">
        <v>4248</v>
      </c>
      <c r="N40" s="279">
        <v>3678.06</v>
      </c>
      <c r="O40" s="281">
        <v>4248</v>
      </c>
      <c r="P40" s="282">
        <v>3678.06</v>
      </c>
      <c r="Q40" s="249">
        <v>100</v>
      </c>
      <c r="R40" s="283">
        <f t="shared" si="10"/>
        <v>4248</v>
      </c>
      <c r="S40" s="283">
        <f t="shared" si="11"/>
        <v>3678.06</v>
      </c>
      <c r="T40" s="284"/>
      <c r="U40" s="284"/>
      <c r="V40" s="285"/>
      <c r="W40" s="284">
        <v>0.075</v>
      </c>
      <c r="X40" s="286">
        <f>ROUND(O40*W40,4)</f>
        <v>318.6</v>
      </c>
      <c r="Y40" s="287">
        <f>R40*(W40/4)</f>
        <v>79.64999999999999</v>
      </c>
      <c r="Z40" s="250">
        <v>724.28</v>
      </c>
      <c r="AA40" s="250">
        <f t="shared" si="3"/>
        <v>57688.9</v>
      </c>
      <c r="AB40" s="251">
        <f t="shared" si="4"/>
        <v>46151.12</v>
      </c>
      <c r="AC40" s="288">
        <f t="shared" si="5"/>
        <v>11537.78</v>
      </c>
      <c r="AD40" s="151" t="b">
        <f t="shared" si="6"/>
        <v>1</v>
      </c>
    </row>
    <row r="41" spans="1:30" ht="11.25">
      <c r="A41" s="243" t="s">
        <v>216</v>
      </c>
      <c r="B41" s="275">
        <v>101047789</v>
      </c>
      <c r="C41" s="276" t="s">
        <v>217</v>
      </c>
      <c r="D41" s="276" t="s">
        <v>150</v>
      </c>
      <c r="E41" s="276" t="s">
        <v>151</v>
      </c>
      <c r="F41" s="247" t="s">
        <v>152</v>
      </c>
      <c r="G41" s="277" t="s">
        <v>157</v>
      </c>
      <c r="H41" s="276" t="s">
        <v>158</v>
      </c>
      <c r="I41" s="277" t="s">
        <v>155</v>
      </c>
      <c r="J41" s="276" t="s">
        <v>156</v>
      </c>
      <c r="K41" s="278">
        <v>20072</v>
      </c>
      <c r="L41" s="279">
        <v>8498.52</v>
      </c>
      <c r="M41" s="278">
        <v>-14056</v>
      </c>
      <c r="N41" s="279">
        <v>-5987.52</v>
      </c>
      <c r="O41" s="281">
        <v>6016</v>
      </c>
      <c r="P41" s="282">
        <v>2511</v>
      </c>
      <c r="Q41" s="249">
        <v>100</v>
      </c>
      <c r="R41" s="283">
        <f t="shared" si="10"/>
        <v>6016</v>
      </c>
      <c r="S41" s="283">
        <f t="shared" si="11"/>
        <v>2511</v>
      </c>
      <c r="T41" s="284"/>
      <c r="U41" s="284"/>
      <c r="V41" s="285"/>
      <c r="W41" s="284">
        <v>0.025</v>
      </c>
      <c r="X41" s="286">
        <f>ROUND(O41*W41,4)</f>
        <v>150.4</v>
      </c>
      <c r="Y41" s="287">
        <f>R41*(W41/4)</f>
        <v>37.6</v>
      </c>
      <c r="Z41" s="250">
        <v>724.28</v>
      </c>
      <c r="AA41" s="250">
        <f t="shared" si="3"/>
        <v>27232.93</v>
      </c>
      <c r="AB41" s="251">
        <f t="shared" si="4"/>
        <v>21786.34</v>
      </c>
      <c r="AC41" s="288">
        <f t="shared" si="5"/>
        <v>5446.59</v>
      </c>
      <c r="AD41" s="151" t="b">
        <f t="shared" si="6"/>
        <v>1</v>
      </c>
    </row>
    <row r="42" spans="1:30" ht="11.25">
      <c r="A42" s="243" t="s">
        <v>216</v>
      </c>
      <c r="B42" s="275">
        <v>101047790</v>
      </c>
      <c r="C42" s="276" t="s">
        <v>217</v>
      </c>
      <c r="D42" s="276" t="s">
        <v>150</v>
      </c>
      <c r="E42" s="276" t="s">
        <v>151</v>
      </c>
      <c r="F42" s="247" t="s">
        <v>172</v>
      </c>
      <c r="G42" s="277" t="s">
        <v>173</v>
      </c>
      <c r="H42" s="276" t="s">
        <v>174</v>
      </c>
      <c r="I42" s="277" t="s">
        <v>155</v>
      </c>
      <c r="J42" s="276" t="s">
        <v>156</v>
      </c>
      <c r="K42" s="278">
        <v>11223</v>
      </c>
      <c r="L42" s="279">
        <v>7222.86</v>
      </c>
      <c r="M42" s="278">
        <v>509</v>
      </c>
      <c r="N42" s="279">
        <v>316.71</v>
      </c>
      <c r="O42" s="281">
        <v>11732</v>
      </c>
      <c r="P42" s="282">
        <v>7539.57</v>
      </c>
      <c r="Q42" s="249">
        <v>100</v>
      </c>
      <c r="R42" s="283">
        <f t="shared" si="10"/>
        <v>11732</v>
      </c>
      <c r="S42" s="283">
        <f t="shared" si="11"/>
        <v>7539.57</v>
      </c>
      <c r="T42" s="284">
        <v>102</v>
      </c>
      <c r="U42" s="284">
        <f>ROUND(O42/T42,0)</f>
        <v>115</v>
      </c>
      <c r="V42" s="285">
        <f>ROUND(R42/T42,0)</f>
        <v>115</v>
      </c>
      <c r="W42" s="284">
        <v>1.5</v>
      </c>
      <c r="X42" s="286">
        <f>ROUND(U42*W42,4)</f>
        <v>172.5</v>
      </c>
      <c r="Y42" s="287">
        <f>V42*W42/4</f>
        <v>43.125</v>
      </c>
      <c r="Z42" s="250">
        <v>724.28</v>
      </c>
      <c r="AA42" s="250">
        <f t="shared" si="3"/>
        <v>31234.58</v>
      </c>
      <c r="AB42" s="251">
        <f t="shared" si="4"/>
        <v>24987.66</v>
      </c>
      <c r="AC42" s="288">
        <f t="shared" si="5"/>
        <v>6246.92</v>
      </c>
      <c r="AD42" s="151" t="b">
        <f t="shared" si="6"/>
        <v>1</v>
      </c>
    </row>
    <row r="43" spans="1:30" ht="11.25">
      <c r="A43" s="243" t="s">
        <v>216</v>
      </c>
      <c r="B43" s="275">
        <v>101047789</v>
      </c>
      <c r="C43" s="276" t="s">
        <v>217</v>
      </c>
      <c r="D43" s="276" t="s">
        <v>150</v>
      </c>
      <c r="E43" s="276" t="s">
        <v>151</v>
      </c>
      <c r="F43" s="247" t="s">
        <v>161</v>
      </c>
      <c r="G43" s="277" t="s">
        <v>164</v>
      </c>
      <c r="H43" s="276" t="s">
        <v>165</v>
      </c>
      <c r="I43" s="277" t="s">
        <v>155</v>
      </c>
      <c r="J43" s="276" t="s">
        <v>156</v>
      </c>
      <c r="K43" s="280"/>
      <c r="L43" s="280"/>
      <c r="M43" s="278">
        <v>1200</v>
      </c>
      <c r="N43" s="279">
        <v>2143.17</v>
      </c>
      <c r="O43" s="281">
        <v>1200</v>
      </c>
      <c r="P43" s="282">
        <v>2143.17</v>
      </c>
      <c r="Q43" s="249">
        <v>100</v>
      </c>
      <c r="R43" s="283">
        <f t="shared" si="10"/>
        <v>1200</v>
      </c>
      <c r="S43" s="283">
        <f t="shared" si="11"/>
        <v>2143.17</v>
      </c>
      <c r="T43" s="284"/>
      <c r="U43" s="284"/>
      <c r="V43" s="285"/>
      <c r="W43" s="284">
        <v>0.025</v>
      </c>
      <c r="X43" s="286">
        <f aca="true" t="shared" si="12" ref="X43:X48">ROUND(O43*W43,4)</f>
        <v>30</v>
      </c>
      <c r="Y43" s="287">
        <f aca="true" t="shared" si="13" ref="Y43:Y48">R43*(W43/4)</f>
        <v>7.5</v>
      </c>
      <c r="Z43" s="250">
        <v>724.28</v>
      </c>
      <c r="AA43" s="250">
        <f t="shared" si="3"/>
        <v>5432.1</v>
      </c>
      <c r="AB43" s="251">
        <f t="shared" si="4"/>
        <v>4345.68</v>
      </c>
      <c r="AC43" s="288">
        <f t="shared" si="5"/>
        <v>1086.42</v>
      </c>
      <c r="AD43" s="151" t="b">
        <f t="shared" si="6"/>
        <v>1</v>
      </c>
    </row>
    <row r="44" spans="1:30" ht="11.25">
      <c r="A44" s="243" t="s">
        <v>216</v>
      </c>
      <c r="B44" s="275">
        <v>101047789</v>
      </c>
      <c r="C44" s="276" t="s">
        <v>217</v>
      </c>
      <c r="D44" s="276" t="s">
        <v>150</v>
      </c>
      <c r="E44" s="276" t="s">
        <v>151</v>
      </c>
      <c r="F44" s="247" t="s">
        <v>175</v>
      </c>
      <c r="G44" s="277" t="s">
        <v>182</v>
      </c>
      <c r="H44" s="276" t="s">
        <v>183</v>
      </c>
      <c r="I44" s="277" t="s">
        <v>155</v>
      </c>
      <c r="J44" s="276" t="s">
        <v>156</v>
      </c>
      <c r="K44" s="278">
        <v>9000</v>
      </c>
      <c r="L44" s="279">
        <v>6207.35</v>
      </c>
      <c r="M44" s="278">
        <v>3600</v>
      </c>
      <c r="N44" s="279">
        <v>2889.63</v>
      </c>
      <c r="O44" s="281">
        <v>12600</v>
      </c>
      <c r="P44" s="282">
        <v>9096.98</v>
      </c>
      <c r="Q44" s="249">
        <v>90</v>
      </c>
      <c r="R44" s="283">
        <f t="shared" si="10"/>
        <v>11340</v>
      </c>
      <c r="S44" s="283">
        <f t="shared" si="11"/>
        <v>8187.28</v>
      </c>
      <c r="T44" s="284"/>
      <c r="U44" s="284"/>
      <c r="V44" s="285"/>
      <c r="W44" s="284">
        <v>0.02</v>
      </c>
      <c r="X44" s="286">
        <f t="shared" si="12"/>
        <v>252</v>
      </c>
      <c r="Y44" s="287">
        <f t="shared" si="13"/>
        <v>56.7</v>
      </c>
      <c r="Z44" s="250">
        <v>724.28</v>
      </c>
      <c r="AA44" s="250">
        <f t="shared" si="3"/>
        <v>41066.68</v>
      </c>
      <c r="AB44" s="251">
        <f t="shared" si="4"/>
        <v>32853.34</v>
      </c>
      <c r="AC44" s="288">
        <f t="shared" si="5"/>
        <v>8213.34</v>
      </c>
      <c r="AD44" s="151" t="b">
        <f t="shared" si="6"/>
        <v>1</v>
      </c>
    </row>
    <row r="45" spans="1:30" s="151" customFormat="1" ht="11.25">
      <c r="A45" s="243" t="s">
        <v>216</v>
      </c>
      <c r="B45" s="275">
        <v>101047789</v>
      </c>
      <c r="C45" s="276" t="s">
        <v>217</v>
      </c>
      <c r="D45" s="276" t="s">
        <v>150</v>
      </c>
      <c r="E45" s="276" t="s">
        <v>151</v>
      </c>
      <c r="F45" s="247" t="s">
        <v>175</v>
      </c>
      <c r="G45" s="277" t="s">
        <v>184</v>
      </c>
      <c r="H45" s="276" t="s">
        <v>185</v>
      </c>
      <c r="I45" s="277" t="s">
        <v>155</v>
      </c>
      <c r="J45" s="276" t="s">
        <v>156</v>
      </c>
      <c r="K45" s="278">
        <v>9100</v>
      </c>
      <c r="L45" s="279">
        <v>4016.61</v>
      </c>
      <c r="M45" s="278">
        <v>5740</v>
      </c>
      <c r="N45" s="279">
        <v>2944.41</v>
      </c>
      <c r="O45" s="281">
        <v>14840</v>
      </c>
      <c r="P45" s="282">
        <v>6961.02</v>
      </c>
      <c r="Q45" s="291">
        <v>90</v>
      </c>
      <c r="R45" s="283">
        <f t="shared" si="10"/>
        <v>13356</v>
      </c>
      <c r="S45" s="283">
        <f t="shared" si="11"/>
        <v>6264.92</v>
      </c>
      <c r="T45" s="284"/>
      <c r="U45" s="284"/>
      <c r="V45" s="285"/>
      <c r="W45" s="284">
        <v>0.02</v>
      </c>
      <c r="X45" s="286">
        <f t="shared" si="12"/>
        <v>296.8</v>
      </c>
      <c r="Y45" s="287">
        <f t="shared" si="13"/>
        <v>66.78</v>
      </c>
      <c r="Z45" s="250">
        <v>724.28</v>
      </c>
      <c r="AA45" s="250">
        <f t="shared" si="3"/>
        <v>48367.42</v>
      </c>
      <c r="AB45" s="251">
        <f t="shared" si="4"/>
        <v>38693.94</v>
      </c>
      <c r="AC45" s="288">
        <f t="shared" si="5"/>
        <v>9673.48</v>
      </c>
      <c r="AD45" s="151" t="b">
        <f t="shared" si="6"/>
        <v>1</v>
      </c>
    </row>
    <row r="46" spans="1:30" s="151" customFormat="1" ht="11.25">
      <c r="A46" s="243" t="s">
        <v>216</v>
      </c>
      <c r="B46" s="275">
        <v>101047789</v>
      </c>
      <c r="C46" s="276" t="s">
        <v>217</v>
      </c>
      <c r="D46" s="276" t="s">
        <v>150</v>
      </c>
      <c r="E46" s="276" t="s">
        <v>151</v>
      </c>
      <c r="F46" s="247" t="s">
        <v>175</v>
      </c>
      <c r="G46" s="277" t="s">
        <v>176</v>
      </c>
      <c r="H46" s="276" t="s">
        <v>177</v>
      </c>
      <c r="I46" s="277" t="s">
        <v>155</v>
      </c>
      <c r="J46" s="276" t="s">
        <v>156</v>
      </c>
      <c r="K46" s="278">
        <v>5225</v>
      </c>
      <c r="L46" s="279">
        <v>1663.88</v>
      </c>
      <c r="M46" s="278">
        <v>4245</v>
      </c>
      <c r="N46" s="279">
        <v>1351.81</v>
      </c>
      <c r="O46" s="281">
        <v>9470</v>
      </c>
      <c r="P46" s="282">
        <v>3015.69</v>
      </c>
      <c r="Q46" s="249">
        <v>75</v>
      </c>
      <c r="R46" s="283">
        <f t="shared" si="10"/>
        <v>7103</v>
      </c>
      <c r="S46" s="283">
        <f t="shared" si="11"/>
        <v>2261.77</v>
      </c>
      <c r="T46" s="284"/>
      <c r="U46" s="284"/>
      <c r="V46" s="285"/>
      <c r="W46" s="284">
        <v>0.05</v>
      </c>
      <c r="X46" s="286">
        <f t="shared" si="12"/>
        <v>473.5</v>
      </c>
      <c r="Y46" s="287">
        <f t="shared" si="13"/>
        <v>88.78750000000001</v>
      </c>
      <c r="Z46" s="250">
        <v>724.28</v>
      </c>
      <c r="AA46" s="250">
        <f t="shared" si="3"/>
        <v>64307.01</v>
      </c>
      <c r="AB46" s="251">
        <f t="shared" si="4"/>
        <v>51445.61</v>
      </c>
      <c r="AC46" s="288">
        <f t="shared" si="5"/>
        <v>12861.4</v>
      </c>
      <c r="AD46" s="151" t="b">
        <f t="shared" si="6"/>
        <v>1</v>
      </c>
    </row>
    <row r="47" spans="1:30" s="151" customFormat="1" ht="11.25">
      <c r="A47" s="243" t="s">
        <v>216</v>
      </c>
      <c r="B47" s="275">
        <v>101047789</v>
      </c>
      <c r="C47" s="276" t="s">
        <v>217</v>
      </c>
      <c r="D47" s="276" t="s">
        <v>150</v>
      </c>
      <c r="E47" s="276" t="s">
        <v>151</v>
      </c>
      <c r="F47" s="247" t="s">
        <v>175</v>
      </c>
      <c r="G47" s="277" t="s">
        <v>186</v>
      </c>
      <c r="H47" s="276" t="s">
        <v>187</v>
      </c>
      <c r="I47" s="277" t="s">
        <v>155</v>
      </c>
      <c r="J47" s="276" t="s">
        <v>156</v>
      </c>
      <c r="K47" s="278">
        <v>76334</v>
      </c>
      <c r="L47" s="279">
        <v>10782.34</v>
      </c>
      <c r="M47" s="278">
        <v>-9815</v>
      </c>
      <c r="N47" s="279">
        <v>-1407.26</v>
      </c>
      <c r="O47" s="281">
        <v>66519</v>
      </c>
      <c r="P47" s="282">
        <v>9375.08</v>
      </c>
      <c r="Q47" s="249">
        <v>75</v>
      </c>
      <c r="R47" s="283">
        <f t="shared" si="10"/>
        <v>49889</v>
      </c>
      <c r="S47" s="283">
        <f t="shared" si="11"/>
        <v>7031.31</v>
      </c>
      <c r="T47" s="284"/>
      <c r="U47" s="284"/>
      <c r="V47" s="285"/>
      <c r="W47" s="284">
        <v>0.05</v>
      </c>
      <c r="X47" s="286">
        <f t="shared" si="12"/>
        <v>3325.95</v>
      </c>
      <c r="Y47" s="287">
        <f t="shared" si="13"/>
        <v>623.6125000000001</v>
      </c>
      <c r="Z47" s="250">
        <v>724.28</v>
      </c>
      <c r="AA47" s="250">
        <f t="shared" si="3"/>
        <v>451670.06</v>
      </c>
      <c r="AB47" s="251">
        <f t="shared" si="4"/>
        <v>361336.05</v>
      </c>
      <c r="AC47" s="288">
        <f t="shared" si="5"/>
        <v>90334.01</v>
      </c>
      <c r="AD47" s="151" t="b">
        <f t="shared" si="6"/>
        <v>1</v>
      </c>
    </row>
    <row r="48" spans="1:30" s="151" customFormat="1" ht="11.25">
      <c r="A48" s="243" t="s">
        <v>216</v>
      </c>
      <c r="B48" s="275">
        <v>101047789</v>
      </c>
      <c r="C48" s="276" t="s">
        <v>217</v>
      </c>
      <c r="D48" s="276" t="s">
        <v>150</v>
      </c>
      <c r="E48" s="276" t="s">
        <v>151</v>
      </c>
      <c r="F48" s="247" t="s">
        <v>152</v>
      </c>
      <c r="G48" s="277" t="s">
        <v>159</v>
      </c>
      <c r="H48" s="276" t="s">
        <v>160</v>
      </c>
      <c r="I48" s="277" t="s">
        <v>155</v>
      </c>
      <c r="J48" s="276" t="s">
        <v>156</v>
      </c>
      <c r="K48" s="278">
        <v>20410</v>
      </c>
      <c r="L48" s="279">
        <v>15163.84</v>
      </c>
      <c r="M48" s="278">
        <v>-16509</v>
      </c>
      <c r="N48" s="279">
        <v>-12204.45</v>
      </c>
      <c r="O48" s="281">
        <v>3901</v>
      </c>
      <c r="P48" s="282">
        <v>2959.39</v>
      </c>
      <c r="Q48" s="249">
        <v>75</v>
      </c>
      <c r="R48" s="283">
        <f t="shared" si="10"/>
        <v>2926</v>
      </c>
      <c r="S48" s="283">
        <f t="shared" si="11"/>
        <v>2219.54</v>
      </c>
      <c r="T48" s="284"/>
      <c r="U48" s="284"/>
      <c r="V48" s="285"/>
      <c r="W48" s="284">
        <v>0.05</v>
      </c>
      <c r="X48" s="286">
        <f t="shared" si="12"/>
        <v>195.05</v>
      </c>
      <c r="Y48" s="287">
        <f t="shared" si="13"/>
        <v>36.575</v>
      </c>
      <c r="Z48" s="250">
        <v>724.28</v>
      </c>
      <c r="AA48" s="250">
        <f t="shared" si="3"/>
        <v>26490.54</v>
      </c>
      <c r="AB48" s="251">
        <f t="shared" si="4"/>
        <v>21192.43</v>
      </c>
      <c r="AC48" s="288">
        <f t="shared" si="5"/>
        <v>5298.11</v>
      </c>
      <c r="AD48" s="151" t="b">
        <f t="shared" si="6"/>
        <v>1</v>
      </c>
    </row>
    <row r="49" spans="1:30" s="151" customFormat="1" ht="11.25">
      <c r="A49" s="243" t="s">
        <v>216</v>
      </c>
      <c r="B49" s="275">
        <v>101047790</v>
      </c>
      <c r="C49" s="276" t="s">
        <v>217</v>
      </c>
      <c r="D49" s="276" t="s">
        <v>150</v>
      </c>
      <c r="E49" s="276" t="s">
        <v>151</v>
      </c>
      <c r="F49" s="247" t="s">
        <v>172</v>
      </c>
      <c r="G49" s="277" t="s">
        <v>196</v>
      </c>
      <c r="H49" s="276" t="s">
        <v>197</v>
      </c>
      <c r="I49" s="277" t="s">
        <v>155</v>
      </c>
      <c r="J49" s="276" t="s">
        <v>156</v>
      </c>
      <c r="K49" s="278">
        <v>2430</v>
      </c>
      <c r="L49" s="279">
        <v>1036.57</v>
      </c>
      <c r="M49" s="278">
        <v>17229</v>
      </c>
      <c r="N49" s="279">
        <v>7439.44</v>
      </c>
      <c r="O49" s="281">
        <v>19659</v>
      </c>
      <c r="P49" s="282">
        <v>8476.01</v>
      </c>
      <c r="Q49" s="249">
        <v>60</v>
      </c>
      <c r="R49" s="283">
        <f t="shared" si="10"/>
        <v>11795</v>
      </c>
      <c r="S49" s="283">
        <f t="shared" si="11"/>
        <v>5085.61</v>
      </c>
      <c r="T49" s="284">
        <v>102</v>
      </c>
      <c r="U49" s="284">
        <f>ROUND(O49/T49,0)</f>
        <v>193</v>
      </c>
      <c r="V49" s="285">
        <f>ROUND(R49/T49,0)</f>
        <v>116</v>
      </c>
      <c r="W49" s="284">
        <v>1.5</v>
      </c>
      <c r="X49" s="286">
        <f>ROUND(U49*W49,4)</f>
        <v>289.5</v>
      </c>
      <c r="Y49" s="287">
        <f>V49*W49/4</f>
        <v>43.5</v>
      </c>
      <c r="Z49" s="250">
        <v>724.28</v>
      </c>
      <c r="AA49" s="250">
        <f t="shared" si="3"/>
        <v>31506.18</v>
      </c>
      <c r="AB49" s="251">
        <f t="shared" si="4"/>
        <v>25204.94</v>
      </c>
      <c r="AC49" s="288">
        <f t="shared" si="5"/>
        <v>6301.24</v>
      </c>
      <c r="AD49" s="151" t="b">
        <f t="shared" si="6"/>
        <v>1</v>
      </c>
    </row>
    <row r="50" spans="1:30" s="151" customFormat="1" ht="11.25">
      <c r="A50" s="243" t="s">
        <v>216</v>
      </c>
      <c r="B50" s="275">
        <v>101047790</v>
      </c>
      <c r="C50" s="276" t="s">
        <v>217</v>
      </c>
      <c r="D50" s="276" t="s">
        <v>150</v>
      </c>
      <c r="E50" s="276" t="s">
        <v>151</v>
      </c>
      <c r="F50" s="247" t="s">
        <v>172</v>
      </c>
      <c r="G50" s="277" t="s">
        <v>188</v>
      </c>
      <c r="H50" s="276" t="s">
        <v>189</v>
      </c>
      <c r="I50" s="277" t="s">
        <v>155</v>
      </c>
      <c r="J50" s="276" t="s">
        <v>156</v>
      </c>
      <c r="K50" s="278">
        <v>7500</v>
      </c>
      <c r="L50" s="279">
        <v>3259.8</v>
      </c>
      <c r="M50" s="278">
        <v>7333</v>
      </c>
      <c r="N50" s="279">
        <v>3203.32</v>
      </c>
      <c r="O50" s="281">
        <v>14833</v>
      </c>
      <c r="P50" s="282">
        <v>6463.12</v>
      </c>
      <c r="Q50" s="249">
        <v>60</v>
      </c>
      <c r="R50" s="283">
        <f t="shared" si="10"/>
        <v>8900</v>
      </c>
      <c r="S50" s="283">
        <f t="shared" si="11"/>
        <v>3877.87</v>
      </c>
      <c r="T50" s="284">
        <v>102</v>
      </c>
      <c r="U50" s="284">
        <f>ROUND(O50/T50,0)</f>
        <v>145</v>
      </c>
      <c r="V50" s="285">
        <f>ROUND(R50/T50,0)</f>
        <v>87</v>
      </c>
      <c r="W50" s="284">
        <v>1.5</v>
      </c>
      <c r="X50" s="286">
        <f>ROUND(U50*W50,4)</f>
        <v>217.5</v>
      </c>
      <c r="Y50" s="287">
        <f>V50*W50/4</f>
        <v>32.625</v>
      </c>
      <c r="Z50" s="250">
        <v>724.28</v>
      </c>
      <c r="AA50" s="250">
        <f t="shared" si="3"/>
        <v>23629.64</v>
      </c>
      <c r="AB50" s="251">
        <f t="shared" si="4"/>
        <v>18903.71</v>
      </c>
      <c r="AC50" s="288">
        <f t="shared" si="5"/>
        <v>4725.93</v>
      </c>
      <c r="AD50" s="151" t="b">
        <f t="shared" si="6"/>
        <v>1</v>
      </c>
    </row>
    <row r="51" spans="1:30" s="151" customFormat="1" ht="11.25">
      <c r="A51" s="243" t="s">
        <v>216</v>
      </c>
      <c r="B51" s="275">
        <v>101047790</v>
      </c>
      <c r="C51" s="276" t="s">
        <v>217</v>
      </c>
      <c r="D51" s="276" t="s">
        <v>150</v>
      </c>
      <c r="E51" s="276" t="s">
        <v>151</v>
      </c>
      <c r="F51" s="247" t="s">
        <v>172</v>
      </c>
      <c r="G51" s="277" t="s">
        <v>178</v>
      </c>
      <c r="H51" s="276" t="s">
        <v>179</v>
      </c>
      <c r="I51" s="277" t="s">
        <v>155</v>
      </c>
      <c r="J51" s="276" t="s">
        <v>156</v>
      </c>
      <c r="K51" s="280"/>
      <c r="L51" s="280"/>
      <c r="M51" s="278">
        <v>1308</v>
      </c>
      <c r="N51" s="279">
        <v>1556.11</v>
      </c>
      <c r="O51" s="281">
        <v>1308</v>
      </c>
      <c r="P51" s="282">
        <v>1556.11</v>
      </c>
      <c r="Q51" s="249">
        <v>60</v>
      </c>
      <c r="R51" s="283">
        <f t="shared" si="10"/>
        <v>785</v>
      </c>
      <c r="S51" s="283">
        <f t="shared" si="11"/>
        <v>933.67</v>
      </c>
      <c r="T51" s="284">
        <v>102</v>
      </c>
      <c r="U51" s="284">
        <f>ROUND(O51/T51,0)</f>
        <v>13</v>
      </c>
      <c r="V51" s="285">
        <f>ROUND(R51/T51,0)</f>
        <v>8</v>
      </c>
      <c r="W51" s="284">
        <v>1.5</v>
      </c>
      <c r="X51" s="286">
        <f>ROUND(U51*W51,4)</f>
        <v>19.5</v>
      </c>
      <c r="Y51" s="287">
        <f>V51*W51/4</f>
        <v>3</v>
      </c>
      <c r="Z51" s="250">
        <v>724.28</v>
      </c>
      <c r="AA51" s="250">
        <f t="shared" si="3"/>
        <v>2172.84</v>
      </c>
      <c r="AB51" s="251">
        <f t="shared" si="4"/>
        <v>1738.27</v>
      </c>
      <c r="AC51" s="288">
        <f t="shared" si="5"/>
        <v>434.57</v>
      </c>
      <c r="AD51" s="151" t="b">
        <f t="shared" si="6"/>
        <v>1</v>
      </c>
    </row>
    <row r="52" spans="1:30" s="151" customFormat="1" ht="11.25">
      <c r="A52" s="243" t="s">
        <v>216</v>
      </c>
      <c r="B52" s="244"/>
      <c r="C52" s="276" t="s">
        <v>217</v>
      </c>
      <c r="D52" s="276" t="s">
        <v>150</v>
      </c>
      <c r="E52" s="276" t="s">
        <v>151</v>
      </c>
      <c r="F52" s="247" t="s">
        <v>224</v>
      </c>
      <c r="G52" s="277" t="s">
        <v>225</v>
      </c>
      <c r="H52" s="276" t="s">
        <v>226</v>
      </c>
      <c r="I52" s="277" t="s">
        <v>202</v>
      </c>
      <c r="J52" s="276" t="s">
        <v>203</v>
      </c>
      <c r="K52" s="280"/>
      <c r="L52" s="280"/>
      <c r="M52" s="278">
        <v>7881</v>
      </c>
      <c r="N52" s="279">
        <v>3029.92</v>
      </c>
      <c r="O52" s="281">
        <v>7881</v>
      </c>
      <c r="P52" s="282">
        <v>3029.92</v>
      </c>
      <c r="Q52" s="249">
        <v>50</v>
      </c>
      <c r="R52" s="283">
        <v>0</v>
      </c>
      <c r="S52" s="283">
        <f t="shared" si="11"/>
        <v>1514.96</v>
      </c>
      <c r="T52" s="284"/>
      <c r="U52" s="284"/>
      <c r="V52" s="285"/>
      <c r="W52" s="284">
        <v>0.2</v>
      </c>
      <c r="X52" s="286">
        <f aca="true" t="shared" si="14" ref="X52:X58">ROUND(O52*W52,4)</f>
        <v>1576.2</v>
      </c>
      <c r="Y52" s="287">
        <f aca="true" t="shared" si="15" ref="Y52:Y58">R52*(W52/4)</f>
        <v>0</v>
      </c>
      <c r="Z52" s="250">
        <v>724.28</v>
      </c>
      <c r="AA52" s="250">
        <f t="shared" si="3"/>
        <v>0</v>
      </c>
      <c r="AB52" s="251">
        <f t="shared" si="4"/>
        <v>0</v>
      </c>
      <c r="AC52" s="288">
        <f t="shared" si="5"/>
        <v>0</v>
      </c>
      <c r="AD52" s="151" t="b">
        <f t="shared" si="6"/>
        <v>1</v>
      </c>
    </row>
    <row r="53" spans="1:30" s="151" customFormat="1" ht="11.25">
      <c r="A53" s="243" t="s">
        <v>216</v>
      </c>
      <c r="B53" s="275"/>
      <c r="C53" s="276" t="s">
        <v>217</v>
      </c>
      <c r="D53" s="276" t="s">
        <v>150</v>
      </c>
      <c r="E53" s="276" t="s">
        <v>151</v>
      </c>
      <c r="F53" s="247" t="s">
        <v>175</v>
      </c>
      <c r="G53" s="277" t="s">
        <v>227</v>
      </c>
      <c r="H53" s="276" t="s">
        <v>228</v>
      </c>
      <c r="I53" s="277" t="s">
        <v>202</v>
      </c>
      <c r="J53" s="276" t="s">
        <v>203</v>
      </c>
      <c r="K53" s="280"/>
      <c r="L53" s="280"/>
      <c r="M53" s="292">
        <v>0</v>
      </c>
      <c r="N53" s="279">
        <v>21.25</v>
      </c>
      <c r="O53" s="293">
        <v>0</v>
      </c>
      <c r="P53" s="282">
        <v>21.25</v>
      </c>
      <c r="Q53" s="249">
        <v>0</v>
      </c>
      <c r="R53" s="283">
        <f aca="true" t="shared" si="16" ref="R53:R61">ROUND(O53*Q53/100,0)</f>
        <v>0</v>
      </c>
      <c r="S53" s="283"/>
      <c r="T53" s="284"/>
      <c r="U53" s="284"/>
      <c r="V53" s="285"/>
      <c r="W53" s="284">
        <v>0.07</v>
      </c>
      <c r="X53" s="286">
        <f t="shared" si="14"/>
        <v>0</v>
      </c>
      <c r="Y53" s="287">
        <f t="shared" si="15"/>
        <v>0</v>
      </c>
      <c r="Z53" s="250">
        <v>724.28</v>
      </c>
      <c r="AA53" s="250">
        <f t="shared" si="3"/>
        <v>0</v>
      </c>
      <c r="AB53" s="251">
        <f t="shared" si="4"/>
        <v>0</v>
      </c>
      <c r="AC53" s="288">
        <f t="shared" si="5"/>
        <v>0</v>
      </c>
      <c r="AD53" s="151" t="b">
        <f t="shared" si="6"/>
        <v>1</v>
      </c>
    </row>
    <row r="54" spans="1:30" s="151" customFormat="1" ht="11.25">
      <c r="A54" s="243" t="s">
        <v>216</v>
      </c>
      <c r="B54" s="275"/>
      <c r="C54" s="276" t="s">
        <v>217</v>
      </c>
      <c r="D54" s="276" t="s">
        <v>150</v>
      </c>
      <c r="E54" s="276" t="s">
        <v>151</v>
      </c>
      <c r="F54" s="247" t="s">
        <v>152</v>
      </c>
      <c r="G54" s="277" t="s">
        <v>229</v>
      </c>
      <c r="H54" s="276" t="s">
        <v>230</v>
      </c>
      <c r="I54" s="277" t="s">
        <v>202</v>
      </c>
      <c r="J54" s="276" t="s">
        <v>203</v>
      </c>
      <c r="K54" s="280"/>
      <c r="L54" s="280"/>
      <c r="M54" s="292">
        <v>0</v>
      </c>
      <c r="N54" s="279">
        <v>-51.75</v>
      </c>
      <c r="O54" s="293">
        <v>0</v>
      </c>
      <c r="P54" s="282">
        <v>-51.75</v>
      </c>
      <c r="Q54" s="249">
        <v>0</v>
      </c>
      <c r="R54" s="283">
        <f t="shared" si="16"/>
        <v>0</v>
      </c>
      <c r="S54" s="283"/>
      <c r="T54" s="284"/>
      <c r="U54" s="284"/>
      <c r="V54" s="285"/>
      <c r="W54" s="284">
        <v>0.025</v>
      </c>
      <c r="X54" s="286">
        <f t="shared" si="14"/>
        <v>0</v>
      </c>
      <c r="Y54" s="287">
        <f t="shared" si="15"/>
        <v>0</v>
      </c>
      <c r="Z54" s="250">
        <v>724.28</v>
      </c>
      <c r="AA54" s="250">
        <f t="shared" si="3"/>
        <v>0</v>
      </c>
      <c r="AB54" s="251">
        <f t="shared" si="4"/>
        <v>0</v>
      </c>
      <c r="AC54" s="288">
        <f t="shared" si="5"/>
        <v>0</v>
      </c>
      <c r="AD54" s="151" t="b">
        <f t="shared" si="6"/>
        <v>1</v>
      </c>
    </row>
    <row r="55" spans="1:30" s="151" customFormat="1" ht="11.25">
      <c r="A55" s="243" t="s">
        <v>216</v>
      </c>
      <c r="B55" s="244"/>
      <c r="C55" s="276" t="s">
        <v>217</v>
      </c>
      <c r="D55" s="276" t="s">
        <v>150</v>
      </c>
      <c r="E55" s="276" t="s">
        <v>151</v>
      </c>
      <c r="F55" s="247" t="s">
        <v>190</v>
      </c>
      <c r="G55" s="277" t="s">
        <v>191</v>
      </c>
      <c r="H55" s="276" t="s">
        <v>192</v>
      </c>
      <c r="I55" s="277" t="s">
        <v>155</v>
      </c>
      <c r="J55" s="276" t="s">
        <v>156</v>
      </c>
      <c r="K55" s="278">
        <v>7820</v>
      </c>
      <c r="L55" s="279">
        <v>3907.61</v>
      </c>
      <c r="M55" s="278">
        <v>-504</v>
      </c>
      <c r="N55" s="279">
        <v>-255.55</v>
      </c>
      <c r="O55" s="281">
        <v>7316</v>
      </c>
      <c r="P55" s="282">
        <v>3652.06</v>
      </c>
      <c r="Q55" s="249">
        <v>0</v>
      </c>
      <c r="R55" s="283">
        <f t="shared" si="16"/>
        <v>0</v>
      </c>
      <c r="S55" s="283"/>
      <c r="T55" s="284"/>
      <c r="U55" s="284"/>
      <c r="V55" s="285"/>
      <c r="W55" s="284">
        <v>0.02</v>
      </c>
      <c r="X55" s="286">
        <f t="shared" si="14"/>
        <v>146.32</v>
      </c>
      <c r="Y55" s="287">
        <f t="shared" si="15"/>
        <v>0</v>
      </c>
      <c r="Z55" s="250">
        <v>724.28</v>
      </c>
      <c r="AA55" s="250">
        <f t="shared" si="3"/>
        <v>0</v>
      </c>
      <c r="AB55" s="251">
        <f t="shared" si="4"/>
        <v>0</v>
      </c>
      <c r="AC55" s="288">
        <f t="shared" si="5"/>
        <v>0</v>
      </c>
      <c r="AD55" s="151" t="b">
        <f t="shared" si="6"/>
        <v>1</v>
      </c>
    </row>
    <row r="56" spans="1:30" s="151" customFormat="1" ht="11.25">
      <c r="A56" s="243" t="s">
        <v>216</v>
      </c>
      <c r="B56" s="244"/>
      <c r="C56" s="276" t="s">
        <v>217</v>
      </c>
      <c r="D56" s="276" t="s">
        <v>150</v>
      </c>
      <c r="E56" s="276" t="s">
        <v>151</v>
      </c>
      <c r="F56" s="247" t="s">
        <v>231</v>
      </c>
      <c r="G56" s="277" t="s">
        <v>232</v>
      </c>
      <c r="H56" s="276" t="s">
        <v>233</v>
      </c>
      <c r="I56" s="277" t="s">
        <v>155</v>
      </c>
      <c r="J56" s="276" t="s">
        <v>156</v>
      </c>
      <c r="K56" s="278">
        <v>540</v>
      </c>
      <c r="L56" s="279">
        <v>433.97</v>
      </c>
      <c r="M56" s="278">
        <v>655</v>
      </c>
      <c r="N56" s="279">
        <v>500.34</v>
      </c>
      <c r="O56" s="281">
        <v>1195</v>
      </c>
      <c r="P56" s="282">
        <v>934.31</v>
      </c>
      <c r="Q56" s="249">
        <v>0</v>
      </c>
      <c r="R56" s="283">
        <f t="shared" si="16"/>
        <v>0</v>
      </c>
      <c r="S56" s="283"/>
      <c r="T56" s="284"/>
      <c r="U56" s="284"/>
      <c r="V56" s="285"/>
      <c r="W56" s="284">
        <v>0.05</v>
      </c>
      <c r="X56" s="286">
        <f t="shared" si="14"/>
        <v>59.75</v>
      </c>
      <c r="Y56" s="287">
        <f t="shared" si="15"/>
        <v>0</v>
      </c>
      <c r="Z56" s="250">
        <v>724.28</v>
      </c>
      <c r="AA56" s="250">
        <f t="shared" si="3"/>
        <v>0</v>
      </c>
      <c r="AB56" s="251">
        <f t="shared" si="4"/>
        <v>0</v>
      </c>
      <c r="AC56" s="288">
        <f t="shared" si="5"/>
        <v>0</v>
      </c>
      <c r="AD56" s="151" t="b">
        <f t="shared" si="6"/>
        <v>1</v>
      </c>
    </row>
    <row r="57" spans="1:30" s="151" customFormat="1" ht="11.25">
      <c r="A57" s="243" t="s">
        <v>216</v>
      </c>
      <c r="B57" s="244"/>
      <c r="C57" s="276" t="s">
        <v>217</v>
      </c>
      <c r="D57" s="276" t="s">
        <v>150</v>
      </c>
      <c r="E57" s="276" t="s">
        <v>151</v>
      </c>
      <c r="F57" s="247" t="s">
        <v>193</v>
      </c>
      <c r="G57" s="277" t="s">
        <v>194</v>
      </c>
      <c r="H57" s="276" t="s">
        <v>195</v>
      </c>
      <c r="I57" s="277" t="s">
        <v>155</v>
      </c>
      <c r="J57" s="276" t="s">
        <v>156</v>
      </c>
      <c r="K57" s="278">
        <v>50</v>
      </c>
      <c r="L57" s="279">
        <v>133.46</v>
      </c>
      <c r="M57" s="278">
        <v>-50</v>
      </c>
      <c r="N57" s="279">
        <v>-129.98</v>
      </c>
      <c r="O57" s="293">
        <v>0</v>
      </c>
      <c r="P57" s="282">
        <v>3.48</v>
      </c>
      <c r="Q57" s="249">
        <v>0</v>
      </c>
      <c r="R57" s="283">
        <f t="shared" si="16"/>
        <v>0</v>
      </c>
      <c r="S57" s="283"/>
      <c r="T57" s="284"/>
      <c r="U57" s="284"/>
      <c r="V57" s="285"/>
      <c r="W57" s="284">
        <v>0.02</v>
      </c>
      <c r="X57" s="286">
        <f t="shared" si="14"/>
        <v>0</v>
      </c>
      <c r="Y57" s="287">
        <f t="shared" si="15"/>
        <v>0</v>
      </c>
      <c r="Z57" s="250">
        <v>724.28</v>
      </c>
      <c r="AA57" s="250">
        <f t="shared" si="3"/>
        <v>0</v>
      </c>
      <c r="AB57" s="251">
        <f t="shared" si="4"/>
        <v>0</v>
      </c>
      <c r="AC57" s="288">
        <f t="shared" si="5"/>
        <v>0</v>
      </c>
      <c r="AD57" s="151" t="b">
        <f t="shared" si="6"/>
        <v>1</v>
      </c>
    </row>
    <row r="58" spans="1:30" s="151" customFormat="1" ht="11.25">
      <c r="A58" s="243" t="s">
        <v>216</v>
      </c>
      <c r="B58" s="244"/>
      <c r="C58" s="276" t="s">
        <v>217</v>
      </c>
      <c r="D58" s="276" t="s">
        <v>150</v>
      </c>
      <c r="E58" s="276" t="s">
        <v>151</v>
      </c>
      <c r="F58" s="247" t="s">
        <v>193</v>
      </c>
      <c r="G58" s="277" t="s">
        <v>234</v>
      </c>
      <c r="H58" s="276" t="s">
        <v>235</v>
      </c>
      <c r="I58" s="277" t="s">
        <v>155</v>
      </c>
      <c r="J58" s="276" t="s">
        <v>156</v>
      </c>
      <c r="K58" s="280"/>
      <c r="L58" s="280"/>
      <c r="M58" s="278">
        <v>156</v>
      </c>
      <c r="N58" s="279">
        <v>80.47</v>
      </c>
      <c r="O58" s="281">
        <v>156</v>
      </c>
      <c r="P58" s="282">
        <v>80.47</v>
      </c>
      <c r="Q58" s="249">
        <v>0</v>
      </c>
      <c r="R58" s="283">
        <f t="shared" si="16"/>
        <v>0</v>
      </c>
      <c r="S58" s="283"/>
      <c r="T58" s="284"/>
      <c r="U58" s="284"/>
      <c r="V58" s="285"/>
      <c r="W58" s="284">
        <v>0.05</v>
      </c>
      <c r="X58" s="286">
        <f t="shared" si="14"/>
        <v>7.8</v>
      </c>
      <c r="Y58" s="287">
        <f t="shared" si="15"/>
        <v>0</v>
      </c>
      <c r="Z58" s="250">
        <v>724.28</v>
      </c>
      <c r="AA58" s="250">
        <f t="shared" si="3"/>
        <v>0</v>
      </c>
      <c r="AB58" s="251">
        <f t="shared" si="4"/>
        <v>0</v>
      </c>
      <c r="AC58" s="288">
        <f t="shared" si="5"/>
        <v>0</v>
      </c>
      <c r="AD58" s="151" t="b">
        <f t="shared" si="6"/>
        <v>1</v>
      </c>
    </row>
    <row r="59" spans="1:30" s="151" customFormat="1" ht="11.25">
      <c r="A59" s="243" t="s">
        <v>216</v>
      </c>
      <c r="B59" s="275"/>
      <c r="C59" s="276" t="s">
        <v>217</v>
      </c>
      <c r="D59" s="276" t="s">
        <v>150</v>
      </c>
      <c r="E59" s="276" t="s">
        <v>151</v>
      </c>
      <c r="F59" s="247" t="s">
        <v>172</v>
      </c>
      <c r="G59" s="277" t="s">
        <v>214</v>
      </c>
      <c r="H59" s="276" t="s">
        <v>215</v>
      </c>
      <c r="I59" s="277" t="s">
        <v>155</v>
      </c>
      <c r="J59" s="276" t="s">
        <v>156</v>
      </c>
      <c r="K59" s="280"/>
      <c r="L59" s="280"/>
      <c r="M59" s="278">
        <v>100</v>
      </c>
      <c r="N59" s="279">
        <v>57.24</v>
      </c>
      <c r="O59" s="281">
        <v>100</v>
      </c>
      <c r="P59" s="282">
        <v>57.24</v>
      </c>
      <c r="Q59" s="249">
        <v>0</v>
      </c>
      <c r="R59" s="283">
        <f t="shared" si="16"/>
        <v>0</v>
      </c>
      <c r="S59" s="283"/>
      <c r="T59" s="284">
        <v>102</v>
      </c>
      <c r="U59" s="284">
        <f>ROUND(O59/T59,0)</f>
        <v>1</v>
      </c>
      <c r="V59" s="285">
        <f>ROUND(R59/T59,0)</f>
        <v>0</v>
      </c>
      <c r="W59" s="284">
        <v>1.5</v>
      </c>
      <c r="X59" s="286">
        <f>ROUND(U59*W59,4)</f>
        <v>1.5</v>
      </c>
      <c r="Y59" s="287">
        <f>V59*W59/4</f>
        <v>0</v>
      </c>
      <c r="Z59" s="250">
        <v>724.28</v>
      </c>
      <c r="AA59" s="250">
        <f t="shared" si="3"/>
        <v>0</v>
      </c>
      <c r="AB59" s="251">
        <f t="shared" si="4"/>
        <v>0</v>
      </c>
      <c r="AC59" s="288">
        <f t="shared" si="5"/>
        <v>0</v>
      </c>
      <c r="AD59" s="151" t="b">
        <f t="shared" si="6"/>
        <v>1</v>
      </c>
    </row>
    <row r="60" spans="1:30" s="151" customFormat="1" ht="11.25">
      <c r="A60" s="243" t="s">
        <v>216</v>
      </c>
      <c r="B60" s="275"/>
      <c r="C60" s="276" t="s">
        <v>217</v>
      </c>
      <c r="D60" s="276" t="s">
        <v>150</v>
      </c>
      <c r="E60" s="276" t="s">
        <v>151</v>
      </c>
      <c r="F60" s="247" t="s">
        <v>172</v>
      </c>
      <c r="G60" s="277" t="s">
        <v>200</v>
      </c>
      <c r="H60" s="276" t="s">
        <v>201</v>
      </c>
      <c r="I60" s="277" t="s">
        <v>202</v>
      </c>
      <c r="J60" s="276" t="s">
        <v>203</v>
      </c>
      <c r="K60" s="280"/>
      <c r="L60" s="280"/>
      <c r="M60" s="278">
        <v>165</v>
      </c>
      <c r="N60" s="279">
        <v>230.92</v>
      </c>
      <c r="O60" s="281">
        <v>165</v>
      </c>
      <c r="P60" s="282">
        <v>230.92</v>
      </c>
      <c r="Q60" s="249">
        <v>0</v>
      </c>
      <c r="R60" s="283">
        <f t="shared" si="16"/>
        <v>0</v>
      </c>
      <c r="S60" s="283"/>
      <c r="T60" s="284">
        <v>102</v>
      </c>
      <c r="U60" s="284">
        <f>ROUND(O60/T60,0)</f>
        <v>2</v>
      </c>
      <c r="V60" s="285">
        <f>ROUND(R60/T60,0)</f>
        <v>0</v>
      </c>
      <c r="W60" s="284">
        <v>1.5</v>
      </c>
      <c r="X60" s="286">
        <f>ROUND(ROUND(O60/T60,0)*W60,4)</f>
        <v>3</v>
      </c>
      <c r="Y60" s="287">
        <f>V60*W60/4</f>
        <v>0</v>
      </c>
      <c r="Z60" s="250">
        <v>724.28</v>
      </c>
      <c r="AA60" s="250">
        <f t="shared" si="3"/>
        <v>0</v>
      </c>
      <c r="AB60" s="251">
        <f t="shared" si="4"/>
        <v>0</v>
      </c>
      <c r="AC60" s="288">
        <f t="shared" si="5"/>
        <v>0</v>
      </c>
      <c r="AD60" s="151" t="b">
        <f t="shared" si="6"/>
        <v>1</v>
      </c>
    </row>
    <row r="61" spans="1:30" s="151" customFormat="1" ht="11.25">
      <c r="A61" s="243" t="s">
        <v>216</v>
      </c>
      <c r="B61" s="244"/>
      <c r="C61" s="276" t="s">
        <v>217</v>
      </c>
      <c r="D61" s="276" t="s">
        <v>150</v>
      </c>
      <c r="E61" s="276" t="s">
        <v>151</v>
      </c>
      <c r="F61" s="247" t="s">
        <v>236</v>
      </c>
      <c r="G61" s="277" t="s">
        <v>237</v>
      </c>
      <c r="H61" s="276" t="s">
        <v>238</v>
      </c>
      <c r="I61" s="277" t="s">
        <v>202</v>
      </c>
      <c r="J61" s="276" t="s">
        <v>203</v>
      </c>
      <c r="K61" s="280"/>
      <c r="L61" s="280"/>
      <c r="M61" s="278">
        <v>25</v>
      </c>
      <c r="N61" s="279">
        <v>20.57</v>
      </c>
      <c r="O61" s="281">
        <v>25</v>
      </c>
      <c r="P61" s="282">
        <v>20.57</v>
      </c>
      <c r="Q61" s="249">
        <v>0</v>
      </c>
      <c r="R61" s="283">
        <f t="shared" si="16"/>
        <v>0</v>
      </c>
      <c r="S61" s="283"/>
      <c r="T61" s="284"/>
      <c r="U61" s="284"/>
      <c r="V61" s="285"/>
      <c r="W61" s="284">
        <v>0.015</v>
      </c>
      <c r="X61" s="286">
        <f aca="true" t="shared" si="17" ref="X61:X71">ROUND(O61*W61,4)</f>
        <v>0.375</v>
      </c>
      <c r="Y61" s="287">
        <f aca="true" t="shared" si="18" ref="Y61:Y71">R61*(W61/4)</f>
        <v>0</v>
      </c>
      <c r="Z61" s="250">
        <v>724.28</v>
      </c>
      <c r="AA61" s="250">
        <f t="shared" si="3"/>
        <v>0</v>
      </c>
      <c r="AB61" s="251">
        <f t="shared" si="4"/>
        <v>0</v>
      </c>
      <c r="AC61" s="288">
        <f t="shared" si="5"/>
        <v>0</v>
      </c>
      <c r="AD61" s="151" t="b">
        <f t="shared" si="6"/>
        <v>1</v>
      </c>
    </row>
    <row r="62" spans="1:30" s="151" customFormat="1" ht="11.25">
      <c r="A62" s="243" t="s">
        <v>216</v>
      </c>
      <c r="B62" s="244"/>
      <c r="C62" s="276" t="s">
        <v>217</v>
      </c>
      <c r="D62" s="276" t="s">
        <v>204</v>
      </c>
      <c r="E62" s="276" t="s">
        <v>205</v>
      </c>
      <c r="F62" s="276"/>
      <c r="G62" s="277" t="s">
        <v>206</v>
      </c>
      <c r="H62" s="276" t="s">
        <v>207</v>
      </c>
      <c r="I62" s="277" t="s">
        <v>208</v>
      </c>
      <c r="J62" s="276" t="s">
        <v>209</v>
      </c>
      <c r="K62" s="278">
        <v>400</v>
      </c>
      <c r="L62" s="279">
        <v>146.95</v>
      </c>
      <c r="M62" s="278">
        <v>300</v>
      </c>
      <c r="N62" s="279">
        <v>111.62</v>
      </c>
      <c r="O62" s="281">
        <v>700</v>
      </c>
      <c r="P62" s="282">
        <v>258.57</v>
      </c>
      <c r="Q62" s="246"/>
      <c r="R62" s="283">
        <v>0</v>
      </c>
      <c r="S62" s="283"/>
      <c r="T62" s="246"/>
      <c r="U62" s="246"/>
      <c r="V62" s="285"/>
      <c r="W62" s="246">
        <v>0.01</v>
      </c>
      <c r="X62" s="286">
        <f t="shared" si="17"/>
        <v>7</v>
      </c>
      <c r="Y62" s="287">
        <f t="shared" si="18"/>
        <v>0</v>
      </c>
      <c r="Z62" s="250">
        <v>724.28</v>
      </c>
      <c r="AA62" s="250">
        <f t="shared" si="3"/>
        <v>0</v>
      </c>
      <c r="AB62" s="251">
        <f t="shared" si="4"/>
        <v>0</v>
      </c>
      <c r="AC62" s="288">
        <f t="shared" si="5"/>
        <v>0</v>
      </c>
      <c r="AD62" s="151" t="b">
        <f t="shared" si="6"/>
        <v>1</v>
      </c>
    </row>
    <row r="63" spans="1:30" s="151" customFormat="1" ht="11.25">
      <c r="A63" s="243" t="s">
        <v>216</v>
      </c>
      <c r="B63" s="244"/>
      <c r="C63" s="276" t="s">
        <v>217</v>
      </c>
      <c r="D63" s="276" t="s">
        <v>204</v>
      </c>
      <c r="E63" s="276" t="s">
        <v>205</v>
      </c>
      <c r="F63" s="276"/>
      <c r="G63" s="277" t="s">
        <v>239</v>
      </c>
      <c r="H63" s="276" t="s">
        <v>240</v>
      </c>
      <c r="I63" s="277" t="s">
        <v>208</v>
      </c>
      <c r="J63" s="276" t="s">
        <v>209</v>
      </c>
      <c r="K63" s="278">
        <v>420</v>
      </c>
      <c r="L63" s="279">
        <v>340.68</v>
      </c>
      <c r="M63" s="278">
        <v>240</v>
      </c>
      <c r="N63" s="279">
        <v>194.58</v>
      </c>
      <c r="O63" s="281">
        <v>660</v>
      </c>
      <c r="P63" s="282">
        <v>535.26</v>
      </c>
      <c r="Q63" s="246"/>
      <c r="R63" s="283">
        <v>0</v>
      </c>
      <c r="S63" s="283"/>
      <c r="T63" s="246"/>
      <c r="U63" s="246"/>
      <c r="V63" s="285"/>
      <c r="W63" s="246">
        <v>0.02</v>
      </c>
      <c r="X63" s="286">
        <f t="shared" si="17"/>
        <v>13.2</v>
      </c>
      <c r="Y63" s="287">
        <f t="shared" si="18"/>
        <v>0</v>
      </c>
      <c r="Z63" s="250">
        <v>724.28</v>
      </c>
      <c r="AA63" s="250">
        <f t="shared" si="3"/>
        <v>0</v>
      </c>
      <c r="AB63" s="251">
        <f t="shared" si="4"/>
        <v>0</v>
      </c>
      <c r="AC63" s="288">
        <f t="shared" si="5"/>
        <v>0</v>
      </c>
      <c r="AD63" s="151" t="b">
        <f t="shared" si="6"/>
        <v>1</v>
      </c>
    </row>
    <row r="64" spans="1:30" s="151" customFormat="1" ht="11.25">
      <c r="A64" s="243" t="s">
        <v>216</v>
      </c>
      <c r="B64" s="244"/>
      <c r="C64" s="276" t="s">
        <v>217</v>
      </c>
      <c r="D64" s="276" t="s">
        <v>204</v>
      </c>
      <c r="E64" s="276" t="s">
        <v>205</v>
      </c>
      <c r="F64" s="276"/>
      <c r="G64" s="277" t="s">
        <v>241</v>
      </c>
      <c r="H64" s="276" t="s">
        <v>242</v>
      </c>
      <c r="I64" s="277" t="s">
        <v>208</v>
      </c>
      <c r="J64" s="276" t="s">
        <v>209</v>
      </c>
      <c r="K64" s="278">
        <v>300</v>
      </c>
      <c r="L64" s="279">
        <v>374.03</v>
      </c>
      <c r="M64" s="280"/>
      <c r="N64" s="280"/>
      <c r="O64" s="281">
        <v>300</v>
      </c>
      <c r="P64" s="282">
        <v>374.03</v>
      </c>
      <c r="Q64" s="246"/>
      <c r="R64" s="283">
        <v>0</v>
      </c>
      <c r="S64" s="283"/>
      <c r="T64" s="246"/>
      <c r="U64" s="246"/>
      <c r="V64" s="285"/>
      <c r="W64" s="246">
        <v>0.015</v>
      </c>
      <c r="X64" s="286">
        <f t="shared" si="17"/>
        <v>4.5</v>
      </c>
      <c r="Y64" s="287">
        <f t="shared" si="18"/>
        <v>0</v>
      </c>
      <c r="Z64" s="250">
        <v>724.28</v>
      </c>
      <c r="AA64" s="250">
        <f t="shared" si="3"/>
        <v>0</v>
      </c>
      <c r="AB64" s="251">
        <f t="shared" si="4"/>
        <v>0</v>
      </c>
      <c r="AC64" s="288">
        <f t="shared" si="5"/>
        <v>0</v>
      </c>
      <c r="AD64" s="151" t="b">
        <f t="shared" si="6"/>
        <v>1</v>
      </c>
    </row>
    <row r="65" spans="1:30" s="151" customFormat="1" ht="11.25">
      <c r="A65" s="243" t="s">
        <v>216</v>
      </c>
      <c r="B65" s="244"/>
      <c r="C65" s="276" t="s">
        <v>217</v>
      </c>
      <c r="D65" s="276" t="s">
        <v>204</v>
      </c>
      <c r="E65" s="276" t="s">
        <v>205</v>
      </c>
      <c r="F65" s="276"/>
      <c r="G65" s="277" t="s">
        <v>243</v>
      </c>
      <c r="H65" s="276" t="s">
        <v>244</v>
      </c>
      <c r="I65" s="277" t="s">
        <v>208</v>
      </c>
      <c r="J65" s="276" t="s">
        <v>209</v>
      </c>
      <c r="K65" s="280"/>
      <c r="L65" s="280"/>
      <c r="M65" s="278">
        <v>40</v>
      </c>
      <c r="N65" s="279">
        <v>107.93</v>
      </c>
      <c r="O65" s="281">
        <v>40</v>
      </c>
      <c r="P65" s="282">
        <v>107.93</v>
      </c>
      <c r="Q65" s="246"/>
      <c r="R65" s="283">
        <v>0</v>
      </c>
      <c r="S65" s="283"/>
      <c r="T65" s="246"/>
      <c r="U65" s="246"/>
      <c r="V65" s="285"/>
      <c r="W65" s="246">
        <v>0.025</v>
      </c>
      <c r="X65" s="286">
        <f t="shared" si="17"/>
        <v>1</v>
      </c>
      <c r="Y65" s="287">
        <f t="shared" si="18"/>
        <v>0</v>
      </c>
      <c r="Z65" s="250">
        <v>724.28</v>
      </c>
      <c r="AA65" s="250">
        <f t="shared" si="3"/>
        <v>0</v>
      </c>
      <c r="AB65" s="251">
        <f t="shared" si="4"/>
        <v>0</v>
      </c>
      <c r="AC65" s="288">
        <f t="shared" si="5"/>
        <v>0</v>
      </c>
      <c r="AD65" s="151" t="b">
        <f t="shared" si="6"/>
        <v>1</v>
      </c>
    </row>
    <row r="66" spans="1:30" s="151" customFormat="1" ht="11.25">
      <c r="A66" s="243" t="s">
        <v>216</v>
      </c>
      <c r="B66" s="244"/>
      <c r="C66" s="276" t="s">
        <v>217</v>
      </c>
      <c r="D66" s="276" t="s">
        <v>204</v>
      </c>
      <c r="E66" s="276" t="s">
        <v>205</v>
      </c>
      <c r="F66" s="276"/>
      <c r="G66" s="277" t="s">
        <v>210</v>
      </c>
      <c r="H66" s="276" t="s">
        <v>211</v>
      </c>
      <c r="I66" s="277" t="s">
        <v>208</v>
      </c>
      <c r="J66" s="276" t="s">
        <v>209</v>
      </c>
      <c r="K66" s="278">
        <v>200</v>
      </c>
      <c r="L66" s="279">
        <v>219.68</v>
      </c>
      <c r="M66" s="278">
        <v>228</v>
      </c>
      <c r="N66" s="279">
        <v>250.58</v>
      </c>
      <c r="O66" s="281">
        <v>428</v>
      </c>
      <c r="P66" s="282">
        <v>470.26</v>
      </c>
      <c r="Q66" s="246"/>
      <c r="R66" s="283">
        <v>0</v>
      </c>
      <c r="S66" s="283"/>
      <c r="T66" s="246"/>
      <c r="U66" s="246"/>
      <c r="V66" s="285"/>
      <c r="W66" s="246">
        <v>0.015</v>
      </c>
      <c r="X66" s="286">
        <f t="shared" si="17"/>
        <v>6.42</v>
      </c>
      <c r="Y66" s="287">
        <f t="shared" si="18"/>
        <v>0</v>
      </c>
      <c r="Z66" s="250">
        <v>724.28</v>
      </c>
      <c r="AA66" s="250">
        <f aca="true" t="shared" si="19" ref="AA66:AA129">ROUND(Y66*Z66,2)</f>
        <v>0</v>
      </c>
      <c r="AB66" s="251">
        <f aca="true" t="shared" si="20" ref="AB66:AB129">ROUND(AA66*0.8,2)</f>
        <v>0</v>
      </c>
      <c r="AC66" s="288">
        <f aca="true" t="shared" si="21" ref="AC66:AC129">ROUND(AA66*0.2,2)</f>
        <v>0</v>
      </c>
      <c r="AD66" s="151" t="b">
        <f aca="true" t="shared" si="22" ref="AD66:AD129">IF(AB66+AC66=AA66,TRUE,FALSE)</f>
        <v>1</v>
      </c>
    </row>
    <row r="67" spans="1:30" s="151" customFormat="1" ht="11.25">
      <c r="A67" s="243" t="s">
        <v>216</v>
      </c>
      <c r="B67" s="244"/>
      <c r="C67" s="276" t="s">
        <v>217</v>
      </c>
      <c r="D67" s="276" t="s">
        <v>204</v>
      </c>
      <c r="E67" s="276" t="s">
        <v>205</v>
      </c>
      <c r="F67" s="276"/>
      <c r="G67" s="277" t="s">
        <v>245</v>
      </c>
      <c r="H67" s="276" t="s">
        <v>246</v>
      </c>
      <c r="I67" s="277" t="s">
        <v>208</v>
      </c>
      <c r="J67" s="276" t="s">
        <v>209</v>
      </c>
      <c r="K67" s="278">
        <v>200</v>
      </c>
      <c r="L67" s="279">
        <v>421.03</v>
      </c>
      <c r="M67" s="278">
        <v>27</v>
      </c>
      <c r="N67" s="279">
        <v>56.65</v>
      </c>
      <c r="O67" s="281">
        <v>227</v>
      </c>
      <c r="P67" s="282">
        <v>477.68</v>
      </c>
      <c r="Q67" s="246"/>
      <c r="R67" s="283">
        <v>0</v>
      </c>
      <c r="S67" s="283"/>
      <c r="T67" s="246"/>
      <c r="U67" s="246"/>
      <c r="V67" s="285"/>
      <c r="W67" s="246">
        <v>0.03</v>
      </c>
      <c r="X67" s="286">
        <f t="shared" si="17"/>
        <v>6.81</v>
      </c>
      <c r="Y67" s="287">
        <f t="shared" si="18"/>
        <v>0</v>
      </c>
      <c r="Z67" s="250">
        <v>724.28</v>
      </c>
      <c r="AA67" s="250">
        <f t="shared" si="19"/>
        <v>0</v>
      </c>
      <c r="AB67" s="251">
        <f t="shared" si="20"/>
        <v>0</v>
      </c>
      <c r="AC67" s="288">
        <f t="shared" si="21"/>
        <v>0</v>
      </c>
      <c r="AD67" s="151" t="b">
        <f t="shared" si="22"/>
        <v>1</v>
      </c>
    </row>
    <row r="68" spans="1:30" s="151" customFormat="1" ht="11.25">
      <c r="A68" s="243" t="s">
        <v>216</v>
      </c>
      <c r="B68" s="244"/>
      <c r="C68" s="276" t="s">
        <v>217</v>
      </c>
      <c r="D68" s="276" t="s">
        <v>204</v>
      </c>
      <c r="E68" s="276" t="s">
        <v>205</v>
      </c>
      <c r="F68" s="276"/>
      <c r="G68" s="277" t="s">
        <v>247</v>
      </c>
      <c r="H68" s="276" t="s">
        <v>248</v>
      </c>
      <c r="I68" s="277" t="s">
        <v>208</v>
      </c>
      <c r="J68" s="276" t="s">
        <v>209</v>
      </c>
      <c r="K68" s="278">
        <v>160</v>
      </c>
      <c r="L68" s="279">
        <v>484.77</v>
      </c>
      <c r="M68" s="278">
        <v>-160</v>
      </c>
      <c r="N68" s="279">
        <v>-485.27</v>
      </c>
      <c r="O68" s="293">
        <v>0</v>
      </c>
      <c r="P68" s="282">
        <v>-0.5</v>
      </c>
      <c r="Q68" s="246"/>
      <c r="R68" s="283">
        <v>0</v>
      </c>
      <c r="S68" s="283"/>
      <c r="T68" s="246"/>
      <c r="U68" s="246"/>
      <c r="V68" s="285"/>
      <c r="W68" s="246">
        <v>0.03</v>
      </c>
      <c r="X68" s="286">
        <f t="shared" si="17"/>
        <v>0</v>
      </c>
      <c r="Y68" s="287">
        <f t="shared" si="18"/>
        <v>0</v>
      </c>
      <c r="Z68" s="250">
        <v>724.28</v>
      </c>
      <c r="AA68" s="250">
        <f t="shared" si="19"/>
        <v>0</v>
      </c>
      <c r="AB68" s="251">
        <f t="shared" si="20"/>
        <v>0</v>
      </c>
      <c r="AC68" s="288">
        <f t="shared" si="21"/>
        <v>0</v>
      </c>
      <c r="AD68" s="151" t="b">
        <f t="shared" si="22"/>
        <v>1</v>
      </c>
    </row>
    <row r="69" spans="1:30" s="151" customFormat="1" ht="11.25">
      <c r="A69" s="243" t="s">
        <v>216</v>
      </c>
      <c r="B69" s="244"/>
      <c r="C69" s="276" t="s">
        <v>217</v>
      </c>
      <c r="D69" s="276" t="s">
        <v>204</v>
      </c>
      <c r="E69" s="276" t="s">
        <v>205</v>
      </c>
      <c r="F69" s="276"/>
      <c r="G69" s="277" t="s">
        <v>249</v>
      </c>
      <c r="H69" s="276" t="s">
        <v>250</v>
      </c>
      <c r="I69" s="277" t="s">
        <v>208</v>
      </c>
      <c r="J69" s="276" t="s">
        <v>209</v>
      </c>
      <c r="K69" s="280"/>
      <c r="L69" s="280"/>
      <c r="M69" s="278">
        <v>10</v>
      </c>
      <c r="N69" s="279">
        <v>55.84</v>
      </c>
      <c r="O69" s="281">
        <v>10</v>
      </c>
      <c r="P69" s="282">
        <v>55.84</v>
      </c>
      <c r="Q69" s="246"/>
      <c r="R69" s="283">
        <v>0</v>
      </c>
      <c r="S69" s="283"/>
      <c r="T69" s="246"/>
      <c r="U69" s="246"/>
      <c r="V69" s="285"/>
      <c r="W69" s="246">
        <v>0.04</v>
      </c>
      <c r="X69" s="286">
        <f t="shared" si="17"/>
        <v>0.4</v>
      </c>
      <c r="Y69" s="287">
        <f t="shared" si="18"/>
        <v>0</v>
      </c>
      <c r="Z69" s="250">
        <v>724.28</v>
      </c>
      <c r="AA69" s="250">
        <f t="shared" si="19"/>
        <v>0</v>
      </c>
      <c r="AB69" s="251">
        <f t="shared" si="20"/>
        <v>0</v>
      </c>
      <c r="AC69" s="288">
        <f t="shared" si="21"/>
        <v>0</v>
      </c>
      <c r="AD69" s="151" t="b">
        <f t="shared" si="22"/>
        <v>1</v>
      </c>
    </row>
    <row r="70" spans="1:30" ht="11.25">
      <c r="A70" s="243" t="s">
        <v>251</v>
      </c>
      <c r="B70" s="275">
        <v>101047801</v>
      </c>
      <c r="C70" s="276" t="s">
        <v>252</v>
      </c>
      <c r="D70" s="276" t="s">
        <v>150</v>
      </c>
      <c r="E70" s="276" t="s">
        <v>151</v>
      </c>
      <c r="F70" s="247" t="s">
        <v>175</v>
      </c>
      <c r="G70" s="277" t="s">
        <v>218</v>
      </c>
      <c r="H70" s="276" t="s">
        <v>219</v>
      </c>
      <c r="I70" s="277" t="s">
        <v>155</v>
      </c>
      <c r="J70" s="276" t="s">
        <v>156</v>
      </c>
      <c r="K70" s="280"/>
      <c r="L70" s="280"/>
      <c r="M70" s="278">
        <v>1651</v>
      </c>
      <c r="N70" s="279">
        <v>451.76</v>
      </c>
      <c r="O70" s="281">
        <v>1651</v>
      </c>
      <c r="P70" s="282">
        <v>451.76</v>
      </c>
      <c r="Q70" s="249">
        <v>100</v>
      </c>
      <c r="R70" s="283">
        <f aca="true" t="shared" si="23" ref="R70:R91">ROUND(O70*Q70/100,0)</f>
        <v>1651</v>
      </c>
      <c r="S70" s="283">
        <f aca="true" t="shared" si="24" ref="S70:S80">ROUND(P70*Q70/100,2)</f>
        <v>451.76</v>
      </c>
      <c r="T70" s="284"/>
      <c r="U70" s="284"/>
      <c r="V70" s="285"/>
      <c r="W70" s="284">
        <v>0.02</v>
      </c>
      <c r="X70" s="286">
        <f t="shared" si="17"/>
        <v>33.02</v>
      </c>
      <c r="Y70" s="287">
        <f t="shared" si="18"/>
        <v>8.255</v>
      </c>
      <c r="Z70" s="250">
        <v>724.28</v>
      </c>
      <c r="AA70" s="250">
        <f t="shared" si="19"/>
        <v>5978.93</v>
      </c>
      <c r="AB70" s="251">
        <f t="shared" si="20"/>
        <v>4783.14</v>
      </c>
      <c r="AC70" s="288">
        <f t="shared" si="21"/>
        <v>1195.79</v>
      </c>
      <c r="AD70" s="151" t="b">
        <f t="shared" si="22"/>
        <v>1</v>
      </c>
    </row>
    <row r="71" spans="1:30" ht="11.25">
      <c r="A71" s="243" t="s">
        <v>251</v>
      </c>
      <c r="B71" s="275">
        <v>101047801</v>
      </c>
      <c r="C71" s="276" t="s">
        <v>252</v>
      </c>
      <c r="D71" s="276" t="s">
        <v>150</v>
      </c>
      <c r="E71" s="276" t="s">
        <v>151</v>
      </c>
      <c r="F71" s="247" t="s">
        <v>152</v>
      </c>
      <c r="G71" s="277" t="s">
        <v>222</v>
      </c>
      <c r="H71" s="276" t="s">
        <v>223</v>
      </c>
      <c r="I71" s="277" t="s">
        <v>155</v>
      </c>
      <c r="J71" s="276" t="s">
        <v>156</v>
      </c>
      <c r="K71" s="278">
        <v>2200</v>
      </c>
      <c r="L71" s="279">
        <v>1904.8</v>
      </c>
      <c r="M71" s="278">
        <v>-70</v>
      </c>
      <c r="N71" s="279">
        <v>-61.21</v>
      </c>
      <c r="O71" s="281">
        <v>2130</v>
      </c>
      <c r="P71" s="282">
        <v>1843.59</v>
      </c>
      <c r="Q71" s="249">
        <v>100</v>
      </c>
      <c r="R71" s="283">
        <f t="shared" si="23"/>
        <v>2130</v>
      </c>
      <c r="S71" s="283">
        <f t="shared" si="24"/>
        <v>1843.59</v>
      </c>
      <c r="T71" s="284"/>
      <c r="U71" s="284"/>
      <c r="V71" s="285"/>
      <c r="W71" s="284">
        <v>0.075</v>
      </c>
      <c r="X71" s="286">
        <f t="shared" si="17"/>
        <v>159.75</v>
      </c>
      <c r="Y71" s="287">
        <f t="shared" si="18"/>
        <v>39.9375</v>
      </c>
      <c r="Z71" s="250">
        <v>724.28</v>
      </c>
      <c r="AA71" s="250">
        <f t="shared" si="19"/>
        <v>28925.93</v>
      </c>
      <c r="AB71" s="251">
        <f t="shared" si="20"/>
        <v>23140.74</v>
      </c>
      <c r="AC71" s="288">
        <f t="shared" si="21"/>
        <v>5785.19</v>
      </c>
      <c r="AD71" s="151" t="b">
        <f t="shared" si="22"/>
        <v>1</v>
      </c>
    </row>
    <row r="72" spans="1:30" ht="11.25">
      <c r="A72" s="243" t="s">
        <v>251</v>
      </c>
      <c r="B72" s="275">
        <v>101047802</v>
      </c>
      <c r="C72" s="276" t="s">
        <v>252</v>
      </c>
      <c r="D72" s="276" t="s">
        <v>150</v>
      </c>
      <c r="E72" s="276" t="s">
        <v>151</v>
      </c>
      <c r="F72" s="247" t="s">
        <v>172</v>
      </c>
      <c r="G72" s="277" t="s">
        <v>173</v>
      </c>
      <c r="H72" s="276" t="s">
        <v>174</v>
      </c>
      <c r="I72" s="277" t="s">
        <v>155</v>
      </c>
      <c r="J72" s="276" t="s">
        <v>156</v>
      </c>
      <c r="K72" s="278">
        <v>5500</v>
      </c>
      <c r="L72" s="279">
        <v>3536.64</v>
      </c>
      <c r="M72" s="278">
        <v>6743</v>
      </c>
      <c r="N72" s="279">
        <v>4434.47</v>
      </c>
      <c r="O72" s="281">
        <v>12243</v>
      </c>
      <c r="P72" s="282">
        <v>7971.11</v>
      </c>
      <c r="Q72" s="249">
        <v>100</v>
      </c>
      <c r="R72" s="283">
        <f t="shared" si="23"/>
        <v>12243</v>
      </c>
      <c r="S72" s="283">
        <f t="shared" si="24"/>
        <v>7971.11</v>
      </c>
      <c r="T72" s="284">
        <v>102</v>
      </c>
      <c r="U72" s="284">
        <f>ROUND(O72/T72,0)</f>
        <v>120</v>
      </c>
      <c r="V72" s="285">
        <f>ROUND(R72/T72,0)</f>
        <v>120</v>
      </c>
      <c r="W72" s="284">
        <v>1.5</v>
      </c>
      <c r="X72" s="286">
        <f>ROUND(U72*W72,4)</f>
        <v>180</v>
      </c>
      <c r="Y72" s="287">
        <f>V72*W72/4</f>
        <v>45</v>
      </c>
      <c r="Z72" s="250">
        <v>724.28</v>
      </c>
      <c r="AA72" s="250">
        <f t="shared" si="19"/>
        <v>32592.6</v>
      </c>
      <c r="AB72" s="251">
        <f t="shared" si="20"/>
        <v>26074.08</v>
      </c>
      <c r="AC72" s="288">
        <f t="shared" si="21"/>
        <v>6518.52</v>
      </c>
      <c r="AD72" s="151" t="b">
        <f t="shared" si="22"/>
        <v>1</v>
      </c>
    </row>
    <row r="73" spans="1:30" ht="11.25">
      <c r="A73" s="243" t="s">
        <v>251</v>
      </c>
      <c r="B73" s="275">
        <v>101047801</v>
      </c>
      <c r="C73" s="276" t="s">
        <v>252</v>
      </c>
      <c r="D73" s="276" t="s">
        <v>150</v>
      </c>
      <c r="E73" s="276" t="s">
        <v>151</v>
      </c>
      <c r="F73" s="247" t="s">
        <v>175</v>
      </c>
      <c r="G73" s="277" t="s">
        <v>182</v>
      </c>
      <c r="H73" s="276" t="s">
        <v>183</v>
      </c>
      <c r="I73" s="277" t="s">
        <v>155</v>
      </c>
      <c r="J73" s="276" t="s">
        <v>156</v>
      </c>
      <c r="K73" s="278">
        <v>9500</v>
      </c>
      <c r="L73" s="279">
        <v>6461.64</v>
      </c>
      <c r="M73" s="278">
        <v>1030</v>
      </c>
      <c r="N73" s="279">
        <v>826.27</v>
      </c>
      <c r="O73" s="281">
        <v>10530</v>
      </c>
      <c r="P73" s="282">
        <v>7287.91</v>
      </c>
      <c r="Q73" s="249">
        <v>90</v>
      </c>
      <c r="R73" s="283">
        <f t="shared" si="23"/>
        <v>9477</v>
      </c>
      <c r="S73" s="283">
        <f t="shared" si="24"/>
        <v>6559.12</v>
      </c>
      <c r="T73" s="284"/>
      <c r="U73" s="284"/>
      <c r="V73" s="285"/>
      <c r="W73" s="284">
        <v>0.02</v>
      </c>
      <c r="X73" s="286">
        <f>ROUND(O73*W73,4)</f>
        <v>210.6</v>
      </c>
      <c r="Y73" s="287">
        <f>R73*(W73/4)</f>
        <v>47.385</v>
      </c>
      <c r="Z73" s="250">
        <v>724.28</v>
      </c>
      <c r="AA73" s="250">
        <f t="shared" si="19"/>
        <v>34320.01</v>
      </c>
      <c r="AB73" s="251">
        <f t="shared" si="20"/>
        <v>27456.01</v>
      </c>
      <c r="AC73" s="288">
        <f t="shared" si="21"/>
        <v>6864</v>
      </c>
      <c r="AD73" s="151" t="b">
        <f t="shared" si="22"/>
        <v>1</v>
      </c>
    </row>
    <row r="74" spans="1:30" ht="11.25">
      <c r="A74" s="243" t="s">
        <v>251</v>
      </c>
      <c r="B74" s="275">
        <v>101047801</v>
      </c>
      <c r="C74" s="276" t="s">
        <v>252</v>
      </c>
      <c r="D74" s="276" t="s">
        <v>150</v>
      </c>
      <c r="E74" s="276" t="s">
        <v>151</v>
      </c>
      <c r="F74" s="247" t="s">
        <v>175</v>
      </c>
      <c r="G74" s="277" t="s">
        <v>184</v>
      </c>
      <c r="H74" s="276" t="s">
        <v>185</v>
      </c>
      <c r="I74" s="277" t="s">
        <v>155</v>
      </c>
      <c r="J74" s="276" t="s">
        <v>156</v>
      </c>
      <c r="K74" s="278">
        <v>11000</v>
      </c>
      <c r="L74" s="279">
        <v>5106.73</v>
      </c>
      <c r="M74" s="278">
        <v>970</v>
      </c>
      <c r="N74" s="279">
        <v>497.58</v>
      </c>
      <c r="O74" s="281">
        <v>11970</v>
      </c>
      <c r="P74" s="282">
        <v>5604.31</v>
      </c>
      <c r="Q74" s="291">
        <v>90</v>
      </c>
      <c r="R74" s="283">
        <f t="shared" si="23"/>
        <v>10773</v>
      </c>
      <c r="S74" s="283">
        <f t="shared" si="24"/>
        <v>5043.88</v>
      </c>
      <c r="T74" s="284"/>
      <c r="U74" s="284"/>
      <c r="V74" s="285"/>
      <c r="W74" s="284">
        <v>0.02</v>
      </c>
      <c r="X74" s="286">
        <f>ROUND(O74*W74,4)</f>
        <v>239.4</v>
      </c>
      <c r="Y74" s="287">
        <f>R74*(W74/4)</f>
        <v>53.865</v>
      </c>
      <c r="Z74" s="250">
        <v>724.28</v>
      </c>
      <c r="AA74" s="250">
        <f t="shared" si="19"/>
        <v>39013.34</v>
      </c>
      <c r="AB74" s="251">
        <f t="shared" si="20"/>
        <v>31210.67</v>
      </c>
      <c r="AC74" s="288">
        <f t="shared" si="21"/>
        <v>7802.67</v>
      </c>
      <c r="AD74" s="151" t="b">
        <f t="shared" si="22"/>
        <v>1</v>
      </c>
    </row>
    <row r="75" spans="1:30" ht="11.25">
      <c r="A75" s="243" t="s">
        <v>251</v>
      </c>
      <c r="B75" s="275">
        <v>101047801</v>
      </c>
      <c r="C75" s="276" t="s">
        <v>252</v>
      </c>
      <c r="D75" s="276" t="s">
        <v>150</v>
      </c>
      <c r="E75" s="276" t="s">
        <v>151</v>
      </c>
      <c r="F75" s="247" t="s">
        <v>175</v>
      </c>
      <c r="G75" s="277" t="s">
        <v>176</v>
      </c>
      <c r="H75" s="276" t="s">
        <v>177</v>
      </c>
      <c r="I75" s="277" t="s">
        <v>155</v>
      </c>
      <c r="J75" s="276" t="s">
        <v>156</v>
      </c>
      <c r="K75" s="278">
        <v>3695</v>
      </c>
      <c r="L75" s="279">
        <v>1161.28</v>
      </c>
      <c r="M75" s="278">
        <v>-1000</v>
      </c>
      <c r="N75" s="279">
        <v>-318.45</v>
      </c>
      <c r="O75" s="281">
        <v>2695</v>
      </c>
      <c r="P75" s="282">
        <v>842.83</v>
      </c>
      <c r="Q75" s="249">
        <v>75</v>
      </c>
      <c r="R75" s="283">
        <f t="shared" si="23"/>
        <v>2021</v>
      </c>
      <c r="S75" s="283">
        <f t="shared" si="24"/>
        <v>632.12</v>
      </c>
      <c r="T75" s="284"/>
      <c r="U75" s="284"/>
      <c r="V75" s="285"/>
      <c r="W75" s="284">
        <v>0.05</v>
      </c>
      <c r="X75" s="286">
        <f>ROUND(O75*W75,4)</f>
        <v>134.75</v>
      </c>
      <c r="Y75" s="287">
        <f>R75*(W75/4)</f>
        <v>25.262500000000003</v>
      </c>
      <c r="Z75" s="250">
        <v>724.28</v>
      </c>
      <c r="AA75" s="250">
        <f t="shared" si="19"/>
        <v>18297.12</v>
      </c>
      <c r="AB75" s="251">
        <f t="shared" si="20"/>
        <v>14637.7</v>
      </c>
      <c r="AC75" s="288">
        <f t="shared" si="21"/>
        <v>3659.42</v>
      </c>
      <c r="AD75" s="151" t="b">
        <f t="shared" si="22"/>
        <v>1</v>
      </c>
    </row>
    <row r="76" spans="1:30" ht="11.25">
      <c r="A76" s="243" t="s">
        <v>251</v>
      </c>
      <c r="B76" s="275">
        <v>101047801</v>
      </c>
      <c r="C76" s="276" t="s">
        <v>252</v>
      </c>
      <c r="D76" s="276" t="s">
        <v>150</v>
      </c>
      <c r="E76" s="276" t="s">
        <v>151</v>
      </c>
      <c r="F76" s="247" t="s">
        <v>175</v>
      </c>
      <c r="G76" s="277" t="s">
        <v>186</v>
      </c>
      <c r="H76" s="276" t="s">
        <v>187</v>
      </c>
      <c r="I76" s="277" t="s">
        <v>155</v>
      </c>
      <c r="J76" s="276" t="s">
        <v>156</v>
      </c>
      <c r="K76" s="278">
        <v>30300</v>
      </c>
      <c r="L76" s="279">
        <v>4271.82</v>
      </c>
      <c r="M76" s="278">
        <v>51839</v>
      </c>
      <c r="N76" s="279">
        <v>7492.96</v>
      </c>
      <c r="O76" s="281">
        <v>82139</v>
      </c>
      <c r="P76" s="282">
        <v>11764.78</v>
      </c>
      <c r="Q76" s="249">
        <v>75</v>
      </c>
      <c r="R76" s="283">
        <f t="shared" si="23"/>
        <v>61604</v>
      </c>
      <c r="S76" s="283">
        <f t="shared" si="24"/>
        <v>8823.59</v>
      </c>
      <c r="T76" s="284"/>
      <c r="U76" s="284"/>
      <c r="V76" s="285"/>
      <c r="W76" s="284">
        <v>0.05</v>
      </c>
      <c r="X76" s="286">
        <f>ROUND(O76*W76,4)</f>
        <v>4106.95</v>
      </c>
      <c r="Y76" s="287">
        <f>R76*(W76/4)</f>
        <v>770.0500000000001</v>
      </c>
      <c r="Z76" s="250">
        <v>724.28</v>
      </c>
      <c r="AA76" s="250">
        <f t="shared" si="19"/>
        <v>557731.81</v>
      </c>
      <c r="AB76" s="251">
        <f t="shared" si="20"/>
        <v>446185.45</v>
      </c>
      <c r="AC76" s="288">
        <f t="shared" si="21"/>
        <v>111546.36</v>
      </c>
      <c r="AD76" s="151" t="b">
        <f t="shared" si="22"/>
        <v>1</v>
      </c>
    </row>
    <row r="77" spans="1:30" s="151" customFormat="1" ht="11.25">
      <c r="A77" s="243" t="s">
        <v>251</v>
      </c>
      <c r="B77" s="275">
        <v>101047801</v>
      </c>
      <c r="C77" s="276" t="s">
        <v>252</v>
      </c>
      <c r="D77" s="276" t="s">
        <v>150</v>
      </c>
      <c r="E77" s="276" t="s">
        <v>151</v>
      </c>
      <c r="F77" s="247" t="s">
        <v>152</v>
      </c>
      <c r="G77" s="277" t="s">
        <v>159</v>
      </c>
      <c r="H77" s="276" t="s">
        <v>160</v>
      </c>
      <c r="I77" s="277" t="s">
        <v>155</v>
      </c>
      <c r="J77" s="276" t="s">
        <v>156</v>
      </c>
      <c r="K77" s="278">
        <v>11750</v>
      </c>
      <c r="L77" s="279">
        <v>8730.67</v>
      </c>
      <c r="M77" s="278">
        <v>-3768</v>
      </c>
      <c r="N77" s="279">
        <v>-2807.99</v>
      </c>
      <c r="O77" s="281">
        <v>7982</v>
      </c>
      <c r="P77" s="282">
        <v>5922.68</v>
      </c>
      <c r="Q77" s="249">
        <v>75</v>
      </c>
      <c r="R77" s="283">
        <f t="shared" si="23"/>
        <v>5987</v>
      </c>
      <c r="S77" s="283">
        <f t="shared" si="24"/>
        <v>4442.01</v>
      </c>
      <c r="T77" s="284"/>
      <c r="U77" s="284"/>
      <c r="V77" s="285"/>
      <c r="W77" s="284">
        <v>0.05</v>
      </c>
      <c r="X77" s="286">
        <f>ROUND(O77*W77,4)</f>
        <v>399.1</v>
      </c>
      <c r="Y77" s="287">
        <f>R77*(W77/4)</f>
        <v>74.8375</v>
      </c>
      <c r="Z77" s="250">
        <v>724.28</v>
      </c>
      <c r="AA77" s="250">
        <f t="shared" si="19"/>
        <v>54203.3</v>
      </c>
      <c r="AB77" s="251">
        <f t="shared" si="20"/>
        <v>43362.64</v>
      </c>
      <c r="AC77" s="288">
        <f t="shared" si="21"/>
        <v>10840.66</v>
      </c>
      <c r="AD77" s="151" t="b">
        <f t="shared" si="22"/>
        <v>1</v>
      </c>
    </row>
    <row r="78" spans="1:30" s="151" customFormat="1" ht="11.25">
      <c r="A78" s="243" t="s">
        <v>251</v>
      </c>
      <c r="B78" s="275">
        <v>101047802</v>
      </c>
      <c r="C78" s="276" t="s">
        <v>252</v>
      </c>
      <c r="D78" s="276" t="s">
        <v>150</v>
      </c>
      <c r="E78" s="276" t="s">
        <v>151</v>
      </c>
      <c r="F78" s="247" t="s">
        <v>172</v>
      </c>
      <c r="G78" s="277" t="s">
        <v>196</v>
      </c>
      <c r="H78" s="276" t="s">
        <v>197</v>
      </c>
      <c r="I78" s="277" t="s">
        <v>155</v>
      </c>
      <c r="J78" s="276" t="s">
        <v>156</v>
      </c>
      <c r="K78" s="278">
        <v>11553</v>
      </c>
      <c r="L78" s="279">
        <v>4950.81</v>
      </c>
      <c r="M78" s="278">
        <v>-150</v>
      </c>
      <c r="N78" s="279">
        <v>-64.94</v>
      </c>
      <c r="O78" s="281">
        <v>11403</v>
      </c>
      <c r="P78" s="282">
        <v>4885.87</v>
      </c>
      <c r="Q78" s="249">
        <v>60</v>
      </c>
      <c r="R78" s="283">
        <f t="shared" si="23"/>
        <v>6842</v>
      </c>
      <c r="S78" s="283">
        <f t="shared" si="24"/>
        <v>2931.52</v>
      </c>
      <c r="T78" s="284">
        <v>102</v>
      </c>
      <c r="U78" s="284">
        <f>ROUND(O78/T78,0)</f>
        <v>112</v>
      </c>
      <c r="V78" s="285">
        <f>ROUND(R78/T78,0)</f>
        <v>67</v>
      </c>
      <c r="W78" s="284">
        <v>1.5</v>
      </c>
      <c r="X78" s="286">
        <f>ROUND(U78*W78,4)</f>
        <v>168</v>
      </c>
      <c r="Y78" s="287">
        <f>V78*W78/4</f>
        <v>25.125</v>
      </c>
      <c r="Z78" s="250">
        <v>724.28</v>
      </c>
      <c r="AA78" s="250">
        <f t="shared" si="19"/>
        <v>18197.54</v>
      </c>
      <c r="AB78" s="251">
        <f t="shared" si="20"/>
        <v>14558.03</v>
      </c>
      <c r="AC78" s="288">
        <f t="shared" si="21"/>
        <v>3639.51</v>
      </c>
      <c r="AD78" s="151" t="b">
        <f t="shared" si="22"/>
        <v>1</v>
      </c>
    </row>
    <row r="79" spans="1:30" s="151" customFormat="1" ht="11.25">
      <c r="A79" s="243" t="s">
        <v>251</v>
      </c>
      <c r="B79" s="275">
        <v>101047802</v>
      </c>
      <c r="C79" s="276" t="s">
        <v>252</v>
      </c>
      <c r="D79" s="276" t="s">
        <v>150</v>
      </c>
      <c r="E79" s="276" t="s">
        <v>151</v>
      </c>
      <c r="F79" s="247" t="s">
        <v>172</v>
      </c>
      <c r="G79" s="277" t="s">
        <v>188</v>
      </c>
      <c r="H79" s="276" t="s">
        <v>189</v>
      </c>
      <c r="I79" s="277" t="s">
        <v>155</v>
      </c>
      <c r="J79" s="276" t="s">
        <v>156</v>
      </c>
      <c r="K79" s="278">
        <v>20359</v>
      </c>
      <c r="L79" s="279">
        <v>8849.51</v>
      </c>
      <c r="M79" s="278">
        <v>930</v>
      </c>
      <c r="N79" s="279">
        <v>404.72</v>
      </c>
      <c r="O79" s="281">
        <v>21289</v>
      </c>
      <c r="P79" s="282">
        <v>9254.23</v>
      </c>
      <c r="Q79" s="249">
        <v>60</v>
      </c>
      <c r="R79" s="283">
        <f t="shared" si="23"/>
        <v>12773</v>
      </c>
      <c r="S79" s="283">
        <f t="shared" si="24"/>
        <v>5552.54</v>
      </c>
      <c r="T79" s="284">
        <v>102</v>
      </c>
      <c r="U79" s="284">
        <f>ROUND(O79/T79,0)</f>
        <v>209</v>
      </c>
      <c r="V79" s="285">
        <f>ROUND(R79/T79,0)</f>
        <v>125</v>
      </c>
      <c r="W79" s="284">
        <v>1.5</v>
      </c>
      <c r="X79" s="286">
        <f>ROUND(U79*W79,4)</f>
        <v>313.5</v>
      </c>
      <c r="Y79" s="287">
        <f>V79*W79/4</f>
        <v>46.875</v>
      </c>
      <c r="Z79" s="250">
        <v>724.28</v>
      </c>
      <c r="AA79" s="250">
        <f t="shared" si="19"/>
        <v>33950.63</v>
      </c>
      <c r="AB79" s="251">
        <f t="shared" si="20"/>
        <v>27160.5</v>
      </c>
      <c r="AC79" s="288">
        <f t="shared" si="21"/>
        <v>6790.13</v>
      </c>
      <c r="AD79" s="151" t="b">
        <f t="shared" si="22"/>
        <v>1</v>
      </c>
    </row>
    <row r="80" spans="1:30" s="151" customFormat="1" ht="11.25">
      <c r="A80" s="243" t="s">
        <v>251</v>
      </c>
      <c r="B80" s="275">
        <v>101047802</v>
      </c>
      <c r="C80" s="276" t="s">
        <v>252</v>
      </c>
      <c r="D80" s="276" t="s">
        <v>150</v>
      </c>
      <c r="E80" s="276" t="s">
        <v>151</v>
      </c>
      <c r="F80" s="247" t="s">
        <v>172</v>
      </c>
      <c r="G80" s="277" t="s">
        <v>178</v>
      </c>
      <c r="H80" s="276" t="s">
        <v>179</v>
      </c>
      <c r="I80" s="277" t="s">
        <v>155</v>
      </c>
      <c r="J80" s="276" t="s">
        <v>156</v>
      </c>
      <c r="K80" s="278">
        <v>300</v>
      </c>
      <c r="L80" s="279">
        <v>349.56</v>
      </c>
      <c r="M80" s="278">
        <v>785</v>
      </c>
      <c r="N80" s="279">
        <v>934.48</v>
      </c>
      <c r="O80" s="281">
        <v>1085</v>
      </c>
      <c r="P80" s="282">
        <v>1284.04</v>
      </c>
      <c r="Q80" s="249">
        <v>60</v>
      </c>
      <c r="R80" s="283">
        <f t="shared" si="23"/>
        <v>651</v>
      </c>
      <c r="S80" s="283">
        <f t="shared" si="24"/>
        <v>770.42</v>
      </c>
      <c r="T80" s="284">
        <v>102</v>
      </c>
      <c r="U80" s="284">
        <f>ROUND(O80/T80,0)</f>
        <v>11</v>
      </c>
      <c r="V80" s="285">
        <f>ROUND(R80/T80,0)</f>
        <v>6</v>
      </c>
      <c r="W80" s="284">
        <v>1.5</v>
      </c>
      <c r="X80" s="286">
        <f>ROUND(U80*W80,4)</f>
        <v>16.5</v>
      </c>
      <c r="Y80" s="287">
        <f>V80*W80/4</f>
        <v>2.25</v>
      </c>
      <c r="Z80" s="250">
        <v>724.28</v>
      </c>
      <c r="AA80" s="250">
        <f t="shared" si="19"/>
        <v>1629.63</v>
      </c>
      <c r="AB80" s="251">
        <f t="shared" si="20"/>
        <v>1303.7</v>
      </c>
      <c r="AC80" s="288">
        <f t="shared" si="21"/>
        <v>325.93</v>
      </c>
      <c r="AD80" s="151" t="b">
        <f t="shared" si="22"/>
        <v>1</v>
      </c>
    </row>
    <row r="81" spans="1:30" s="151" customFormat="1" ht="11.25">
      <c r="A81" s="243" t="s">
        <v>251</v>
      </c>
      <c r="B81" s="275"/>
      <c r="C81" s="276" t="s">
        <v>252</v>
      </c>
      <c r="D81" s="276" t="s">
        <v>150</v>
      </c>
      <c r="E81" s="276" t="s">
        <v>151</v>
      </c>
      <c r="F81" s="247" t="s">
        <v>175</v>
      </c>
      <c r="G81" s="277" t="s">
        <v>227</v>
      </c>
      <c r="H81" s="276" t="s">
        <v>228</v>
      </c>
      <c r="I81" s="277" t="s">
        <v>202</v>
      </c>
      <c r="J81" s="276" t="s">
        <v>203</v>
      </c>
      <c r="K81" s="280"/>
      <c r="L81" s="280"/>
      <c r="M81" s="292">
        <v>0</v>
      </c>
      <c r="N81" s="294">
        <v>0</v>
      </c>
      <c r="O81" s="293">
        <v>0</v>
      </c>
      <c r="P81" s="295">
        <v>0</v>
      </c>
      <c r="Q81" s="249">
        <v>0</v>
      </c>
      <c r="R81" s="283">
        <f t="shared" si="23"/>
        <v>0</v>
      </c>
      <c r="S81" s="283"/>
      <c r="T81" s="284"/>
      <c r="U81" s="284"/>
      <c r="V81" s="285"/>
      <c r="W81" s="284">
        <v>0.07</v>
      </c>
      <c r="X81" s="286">
        <f aca="true" t="shared" si="25" ref="X81:X86">ROUND(O81*W81,4)</f>
        <v>0</v>
      </c>
      <c r="Y81" s="287">
        <f aca="true" t="shared" si="26" ref="Y81:Y86">R81*(W81/4)</f>
        <v>0</v>
      </c>
      <c r="Z81" s="250">
        <v>724.28</v>
      </c>
      <c r="AA81" s="250">
        <f t="shared" si="19"/>
        <v>0</v>
      </c>
      <c r="AB81" s="251">
        <f t="shared" si="20"/>
        <v>0</v>
      </c>
      <c r="AC81" s="288">
        <f t="shared" si="21"/>
        <v>0</v>
      </c>
      <c r="AD81" s="151" t="b">
        <f t="shared" si="22"/>
        <v>1</v>
      </c>
    </row>
    <row r="82" spans="1:30" s="151" customFormat="1" ht="11.25">
      <c r="A82" s="243" t="s">
        <v>251</v>
      </c>
      <c r="B82" s="275"/>
      <c r="C82" s="276" t="s">
        <v>252</v>
      </c>
      <c r="D82" s="276" t="s">
        <v>150</v>
      </c>
      <c r="E82" s="276" t="s">
        <v>151</v>
      </c>
      <c r="F82" s="247" t="s">
        <v>152</v>
      </c>
      <c r="G82" s="277" t="s">
        <v>157</v>
      </c>
      <c r="H82" s="276" t="s">
        <v>158</v>
      </c>
      <c r="I82" s="277" t="s">
        <v>155</v>
      </c>
      <c r="J82" s="276" t="s">
        <v>156</v>
      </c>
      <c r="K82" s="278">
        <v>510</v>
      </c>
      <c r="L82" s="279">
        <v>215.13</v>
      </c>
      <c r="M82" s="278">
        <v>30</v>
      </c>
      <c r="N82" s="279">
        <v>12.92</v>
      </c>
      <c r="O82" s="281">
        <v>540</v>
      </c>
      <c r="P82" s="282">
        <v>228.05</v>
      </c>
      <c r="Q82" s="249">
        <v>0</v>
      </c>
      <c r="R82" s="283">
        <f t="shared" si="23"/>
        <v>0</v>
      </c>
      <c r="S82" s="283"/>
      <c r="T82" s="284"/>
      <c r="U82" s="284"/>
      <c r="V82" s="285"/>
      <c r="W82" s="284">
        <v>0.025</v>
      </c>
      <c r="X82" s="286">
        <f t="shared" si="25"/>
        <v>13.5</v>
      </c>
      <c r="Y82" s="287">
        <f t="shared" si="26"/>
        <v>0</v>
      </c>
      <c r="Z82" s="250">
        <v>724.28</v>
      </c>
      <c r="AA82" s="250">
        <f t="shared" si="19"/>
        <v>0</v>
      </c>
      <c r="AB82" s="251">
        <f t="shared" si="20"/>
        <v>0</v>
      </c>
      <c r="AC82" s="288">
        <f t="shared" si="21"/>
        <v>0</v>
      </c>
      <c r="AD82" s="151" t="b">
        <f t="shared" si="22"/>
        <v>1</v>
      </c>
    </row>
    <row r="83" spans="1:30" s="151" customFormat="1" ht="11.25">
      <c r="A83" s="243" t="s">
        <v>251</v>
      </c>
      <c r="B83" s="244"/>
      <c r="C83" s="276" t="s">
        <v>252</v>
      </c>
      <c r="D83" s="276" t="s">
        <v>150</v>
      </c>
      <c r="E83" s="276" t="s">
        <v>151</v>
      </c>
      <c r="F83" s="247" t="s">
        <v>190</v>
      </c>
      <c r="G83" s="277" t="s">
        <v>191</v>
      </c>
      <c r="H83" s="276" t="s">
        <v>192</v>
      </c>
      <c r="I83" s="277" t="s">
        <v>155</v>
      </c>
      <c r="J83" s="276" t="s">
        <v>156</v>
      </c>
      <c r="K83" s="278">
        <v>1320</v>
      </c>
      <c r="L83" s="279">
        <v>659.34</v>
      </c>
      <c r="M83" s="278">
        <v>2962</v>
      </c>
      <c r="N83" s="279">
        <v>1453.24</v>
      </c>
      <c r="O83" s="281">
        <v>4282</v>
      </c>
      <c r="P83" s="282">
        <v>2112.58</v>
      </c>
      <c r="Q83" s="249">
        <v>0</v>
      </c>
      <c r="R83" s="283">
        <f t="shared" si="23"/>
        <v>0</v>
      </c>
      <c r="S83" s="283"/>
      <c r="T83" s="284"/>
      <c r="U83" s="284"/>
      <c r="V83" s="285"/>
      <c r="W83" s="284">
        <v>0.02</v>
      </c>
      <c r="X83" s="286">
        <f t="shared" si="25"/>
        <v>85.64</v>
      </c>
      <c r="Y83" s="287">
        <f t="shared" si="26"/>
        <v>0</v>
      </c>
      <c r="Z83" s="250">
        <v>724.28</v>
      </c>
      <c r="AA83" s="250">
        <f t="shared" si="19"/>
        <v>0</v>
      </c>
      <c r="AB83" s="251">
        <f t="shared" si="20"/>
        <v>0</v>
      </c>
      <c r="AC83" s="288">
        <f t="shared" si="21"/>
        <v>0</v>
      </c>
      <c r="AD83" s="151" t="b">
        <f t="shared" si="22"/>
        <v>1</v>
      </c>
    </row>
    <row r="84" spans="1:30" s="151" customFormat="1" ht="11.25">
      <c r="A84" s="243" t="s">
        <v>251</v>
      </c>
      <c r="B84" s="244"/>
      <c r="C84" s="276" t="s">
        <v>252</v>
      </c>
      <c r="D84" s="276" t="s">
        <v>150</v>
      </c>
      <c r="E84" s="276" t="s">
        <v>151</v>
      </c>
      <c r="F84" s="247" t="s">
        <v>231</v>
      </c>
      <c r="G84" s="277" t="s">
        <v>232</v>
      </c>
      <c r="H84" s="276" t="s">
        <v>233</v>
      </c>
      <c r="I84" s="277" t="s">
        <v>155</v>
      </c>
      <c r="J84" s="276" t="s">
        <v>156</v>
      </c>
      <c r="K84" s="280"/>
      <c r="L84" s="280"/>
      <c r="M84" s="278">
        <v>33</v>
      </c>
      <c r="N84" s="279">
        <v>24.87</v>
      </c>
      <c r="O84" s="281">
        <v>33</v>
      </c>
      <c r="P84" s="282">
        <v>24.87</v>
      </c>
      <c r="Q84" s="249">
        <v>0</v>
      </c>
      <c r="R84" s="283">
        <f t="shared" si="23"/>
        <v>0</v>
      </c>
      <c r="S84" s="283"/>
      <c r="T84" s="284"/>
      <c r="U84" s="284"/>
      <c r="V84" s="285"/>
      <c r="W84" s="284">
        <v>0.05</v>
      </c>
      <c r="X84" s="286">
        <f t="shared" si="25"/>
        <v>1.65</v>
      </c>
      <c r="Y84" s="287">
        <f t="shared" si="26"/>
        <v>0</v>
      </c>
      <c r="Z84" s="250">
        <v>724.28</v>
      </c>
      <c r="AA84" s="250">
        <f t="shared" si="19"/>
        <v>0</v>
      </c>
      <c r="AB84" s="251">
        <f t="shared" si="20"/>
        <v>0</v>
      </c>
      <c r="AC84" s="288">
        <f t="shared" si="21"/>
        <v>0</v>
      </c>
      <c r="AD84" s="151" t="b">
        <f t="shared" si="22"/>
        <v>1</v>
      </c>
    </row>
    <row r="85" spans="1:30" s="151" customFormat="1" ht="11.25">
      <c r="A85" s="243" t="s">
        <v>251</v>
      </c>
      <c r="B85" s="244"/>
      <c r="C85" s="276" t="s">
        <v>252</v>
      </c>
      <c r="D85" s="276" t="s">
        <v>150</v>
      </c>
      <c r="E85" s="276" t="s">
        <v>151</v>
      </c>
      <c r="F85" s="247" t="s">
        <v>193</v>
      </c>
      <c r="G85" s="277" t="s">
        <v>194</v>
      </c>
      <c r="H85" s="276" t="s">
        <v>195</v>
      </c>
      <c r="I85" s="277" t="s">
        <v>155</v>
      </c>
      <c r="J85" s="276" t="s">
        <v>156</v>
      </c>
      <c r="K85" s="278">
        <v>80</v>
      </c>
      <c r="L85" s="279">
        <v>213.83</v>
      </c>
      <c r="M85" s="280"/>
      <c r="N85" s="280"/>
      <c r="O85" s="281">
        <v>80</v>
      </c>
      <c r="P85" s="282">
        <v>213.83</v>
      </c>
      <c r="Q85" s="249">
        <v>0</v>
      </c>
      <c r="R85" s="283">
        <f t="shared" si="23"/>
        <v>0</v>
      </c>
      <c r="S85" s="283"/>
      <c r="T85" s="284"/>
      <c r="U85" s="284"/>
      <c r="V85" s="285"/>
      <c r="W85" s="284">
        <v>0.02</v>
      </c>
      <c r="X85" s="286">
        <f t="shared" si="25"/>
        <v>1.6</v>
      </c>
      <c r="Y85" s="287">
        <f t="shared" si="26"/>
        <v>0</v>
      </c>
      <c r="Z85" s="250">
        <v>724.28</v>
      </c>
      <c r="AA85" s="250">
        <f t="shared" si="19"/>
        <v>0</v>
      </c>
      <c r="AB85" s="251">
        <f t="shared" si="20"/>
        <v>0</v>
      </c>
      <c r="AC85" s="288">
        <f t="shared" si="21"/>
        <v>0</v>
      </c>
      <c r="AD85" s="151" t="b">
        <f t="shared" si="22"/>
        <v>1</v>
      </c>
    </row>
    <row r="86" spans="1:30" s="151" customFormat="1" ht="11.25">
      <c r="A86" s="243" t="s">
        <v>251</v>
      </c>
      <c r="B86" s="244"/>
      <c r="C86" s="276" t="s">
        <v>252</v>
      </c>
      <c r="D86" s="276" t="s">
        <v>150</v>
      </c>
      <c r="E86" s="276" t="s">
        <v>151</v>
      </c>
      <c r="F86" s="247" t="s">
        <v>193</v>
      </c>
      <c r="G86" s="277" t="s">
        <v>253</v>
      </c>
      <c r="H86" s="276" t="s">
        <v>254</v>
      </c>
      <c r="I86" s="277" t="s">
        <v>155</v>
      </c>
      <c r="J86" s="276" t="s">
        <v>156</v>
      </c>
      <c r="K86" s="278">
        <v>50</v>
      </c>
      <c r="L86" s="279">
        <v>81.87</v>
      </c>
      <c r="M86" s="280"/>
      <c r="N86" s="280"/>
      <c r="O86" s="281">
        <v>50</v>
      </c>
      <c r="P86" s="282">
        <v>81.87</v>
      </c>
      <c r="Q86" s="249">
        <v>0</v>
      </c>
      <c r="R86" s="283">
        <f t="shared" si="23"/>
        <v>0</v>
      </c>
      <c r="S86" s="283"/>
      <c r="T86" s="284"/>
      <c r="U86" s="284"/>
      <c r="V86" s="285"/>
      <c r="W86" s="284">
        <v>0.025</v>
      </c>
      <c r="X86" s="286">
        <f t="shared" si="25"/>
        <v>1.25</v>
      </c>
      <c r="Y86" s="287">
        <f t="shared" si="26"/>
        <v>0</v>
      </c>
      <c r="Z86" s="250">
        <v>724.28</v>
      </c>
      <c r="AA86" s="250">
        <f t="shared" si="19"/>
        <v>0</v>
      </c>
      <c r="AB86" s="251">
        <f t="shared" si="20"/>
        <v>0</v>
      </c>
      <c r="AC86" s="288">
        <f t="shared" si="21"/>
        <v>0</v>
      </c>
      <c r="AD86" s="151" t="b">
        <f t="shared" si="22"/>
        <v>1</v>
      </c>
    </row>
    <row r="87" spans="1:30" s="151" customFormat="1" ht="11.25">
      <c r="A87" s="243" t="s">
        <v>251</v>
      </c>
      <c r="B87" s="275"/>
      <c r="C87" s="276" t="s">
        <v>252</v>
      </c>
      <c r="D87" s="276" t="s">
        <v>150</v>
      </c>
      <c r="E87" s="276" t="s">
        <v>151</v>
      </c>
      <c r="F87" s="247" t="s">
        <v>172</v>
      </c>
      <c r="G87" s="277" t="s">
        <v>255</v>
      </c>
      <c r="H87" s="276" t="s">
        <v>256</v>
      </c>
      <c r="I87" s="277" t="s">
        <v>155</v>
      </c>
      <c r="J87" s="276" t="s">
        <v>156</v>
      </c>
      <c r="K87" s="280"/>
      <c r="L87" s="280"/>
      <c r="M87" s="278">
        <v>95</v>
      </c>
      <c r="N87" s="279">
        <v>151.42</v>
      </c>
      <c r="O87" s="281">
        <v>95</v>
      </c>
      <c r="P87" s="282">
        <v>151.42</v>
      </c>
      <c r="Q87" s="249">
        <v>0</v>
      </c>
      <c r="R87" s="283">
        <f t="shared" si="23"/>
        <v>0</v>
      </c>
      <c r="S87" s="283"/>
      <c r="T87" s="284">
        <v>102</v>
      </c>
      <c r="U87" s="284">
        <f>ROUND(O87/T87,0)</f>
        <v>1</v>
      </c>
      <c r="V87" s="285">
        <f>ROUND(R87/T87,0)</f>
        <v>0</v>
      </c>
      <c r="W87" s="284">
        <v>1.5</v>
      </c>
      <c r="X87" s="286">
        <f>ROUND(ROUND(O87/T87,0)*W87,4)</f>
        <v>1.5</v>
      </c>
      <c r="Y87" s="287">
        <f>V87*W87/4</f>
        <v>0</v>
      </c>
      <c r="Z87" s="250">
        <v>724.28</v>
      </c>
      <c r="AA87" s="250">
        <f t="shared" si="19"/>
        <v>0</v>
      </c>
      <c r="AB87" s="251">
        <f t="shared" si="20"/>
        <v>0</v>
      </c>
      <c r="AC87" s="288">
        <f t="shared" si="21"/>
        <v>0</v>
      </c>
      <c r="AD87" s="151" t="b">
        <f t="shared" si="22"/>
        <v>1</v>
      </c>
    </row>
    <row r="88" spans="1:30" s="151" customFormat="1" ht="11.25">
      <c r="A88" s="243" t="s">
        <v>251</v>
      </c>
      <c r="B88" s="275"/>
      <c r="C88" s="276" t="s">
        <v>252</v>
      </c>
      <c r="D88" s="276" t="s">
        <v>150</v>
      </c>
      <c r="E88" s="276" t="s">
        <v>151</v>
      </c>
      <c r="F88" s="247" t="s">
        <v>172</v>
      </c>
      <c r="G88" s="277" t="s">
        <v>200</v>
      </c>
      <c r="H88" s="276" t="s">
        <v>201</v>
      </c>
      <c r="I88" s="277" t="s">
        <v>202</v>
      </c>
      <c r="J88" s="276" t="s">
        <v>203</v>
      </c>
      <c r="K88" s="278">
        <v>80</v>
      </c>
      <c r="L88" s="279">
        <v>110.47</v>
      </c>
      <c r="M88" s="278">
        <v>-80</v>
      </c>
      <c r="N88" s="279">
        <v>-110.47</v>
      </c>
      <c r="O88" s="293">
        <v>0</v>
      </c>
      <c r="P88" s="295">
        <v>0</v>
      </c>
      <c r="Q88" s="249">
        <v>0</v>
      </c>
      <c r="R88" s="283">
        <f t="shared" si="23"/>
        <v>0</v>
      </c>
      <c r="S88" s="283"/>
      <c r="T88" s="284">
        <v>102</v>
      </c>
      <c r="U88" s="284">
        <f>ROUND(O88/T88,0)</f>
        <v>0</v>
      </c>
      <c r="V88" s="285">
        <f>ROUND(R88/T88,0)</f>
        <v>0</v>
      </c>
      <c r="W88" s="284">
        <v>1.5</v>
      </c>
      <c r="X88" s="286">
        <f>ROUND(ROUND(O88/T88,0)*W88,4)</f>
        <v>0</v>
      </c>
      <c r="Y88" s="287">
        <f>V88*W88/4</f>
        <v>0</v>
      </c>
      <c r="Z88" s="250">
        <v>724.28</v>
      </c>
      <c r="AA88" s="250">
        <f t="shared" si="19"/>
        <v>0</v>
      </c>
      <c r="AB88" s="251">
        <f t="shared" si="20"/>
        <v>0</v>
      </c>
      <c r="AC88" s="288">
        <f t="shared" si="21"/>
        <v>0</v>
      </c>
      <c r="AD88" s="151" t="b">
        <f t="shared" si="22"/>
        <v>1</v>
      </c>
    </row>
    <row r="89" spans="1:30" s="151" customFormat="1" ht="11.25">
      <c r="A89" s="243" t="s">
        <v>251</v>
      </c>
      <c r="B89" s="275"/>
      <c r="C89" s="276" t="s">
        <v>252</v>
      </c>
      <c r="D89" s="276" t="s">
        <v>150</v>
      </c>
      <c r="E89" s="276" t="s">
        <v>151</v>
      </c>
      <c r="F89" s="247" t="s">
        <v>172</v>
      </c>
      <c r="G89" s="277" t="s">
        <v>257</v>
      </c>
      <c r="H89" s="276" t="s">
        <v>258</v>
      </c>
      <c r="I89" s="277" t="s">
        <v>202</v>
      </c>
      <c r="J89" s="276" t="s">
        <v>203</v>
      </c>
      <c r="K89" s="278">
        <v>50</v>
      </c>
      <c r="L89" s="279">
        <v>113.5</v>
      </c>
      <c r="M89" s="278">
        <v>-50</v>
      </c>
      <c r="N89" s="279">
        <v>-113.5</v>
      </c>
      <c r="O89" s="293">
        <v>0</v>
      </c>
      <c r="P89" s="295">
        <v>0</v>
      </c>
      <c r="Q89" s="249">
        <v>0</v>
      </c>
      <c r="R89" s="283">
        <f t="shared" si="23"/>
        <v>0</v>
      </c>
      <c r="S89" s="283"/>
      <c r="T89" s="284">
        <v>102</v>
      </c>
      <c r="U89" s="284">
        <f>ROUND(O89/T89,0)</f>
        <v>0</v>
      </c>
      <c r="V89" s="285">
        <f>ROUND(R89/T89,0)</f>
        <v>0</v>
      </c>
      <c r="W89" s="284">
        <v>1.5</v>
      </c>
      <c r="X89" s="286">
        <f>ROUND(ROUND(O89/T89,0)*W89,4)</f>
        <v>0</v>
      </c>
      <c r="Y89" s="287">
        <f>V89*W89/4</f>
        <v>0</v>
      </c>
      <c r="Z89" s="250">
        <v>724.28</v>
      </c>
      <c r="AA89" s="250">
        <f t="shared" si="19"/>
        <v>0</v>
      </c>
      <c r="AB89" s="251">
        <f t="shared" si="20"/>
        <v>0</v>
      </c>
      <c r="AC89" s="288">
        <f t="shared" si="21"/>
        <v>0</v>
      </c>
      <c r="AD89" s="151" t="b">
        <f t="shared" si="22"/>
        <v>1</v>
      </c>
    </row>
    <row r="90" spans="1:30" s="151" customFormat="1" ht="11.25">
      <c r="A90" s="243" t="s">
        <v>251</v>
      </c>
      <c r="B90" s="275"/>
      <c r="C90" s="276" t="s">
        <v>252</v>
      </c>
      <c r="D90" s="276" t="s">
        <v>150</v>
      </c>
      <c r="E90" s="276" t="s">
        <v>151</v>
      </c>
      <c r="F90" s="247" t="s">
        <v>172</v>
      </c>
      <c r="G90" s="277" t="s">
        <v>259</v>
      </c>
      <c r="H90" s="276" t="s">
        <v>260</v>
      </c>
      <c r="I90" s="277" t="s">
        <v>202</v>
      </c>
      <c r="J90" s="276" t="s">
        <v>203</v>
      </c>
      <c r="K90" s="278">
        <v>100</v>
      </c>
      <c r="L90" s="279">
        <v>315.12</v>
      </c>
      <c r="M90" s="278">
        <v>-100</v>
      </c>
      <c r="N90" s="279">
        <v>-315.12</v>
      </c>
      <c r="O90" s="293">
        <v>0</v>
      </c>
      <c r="P90" s="295">
        <v>0</v>
      </c>
      <c r="Q90" s="249">
        <v>0</v>
      </c>
      <c r="R90" s="283">
        <f t="shared" si="23"/>
        <v>0</v>
      </c>
      <c r="S90" s="283"/>
      <c r="T90" s="284">
        <v>102</v>
      </c>
      <c r="U90" s="284">
        <f>ROUND(O90/T90,0)</f>
        <v>0</v>
      </c>
      <c r="V90" s="285">
        <f>ROUND(R90/T90,0)</f>
        <v>0</v>
      </c>
      <c r="W90" s="284">
        <v>1.5</v>
      </c>
      <c r="X90" s="286">
        <f>ROUND(ROUND(O90/T90,0)*W90,4)</f>
        <v>0</v>
      </c>
      <c r="Y90" s="287">
        <f>V90*W90/4</f>
        <v>0</v>
      </c>
      <c r="Z90" s="250">
        <v>724.28</v>
      </c>
      <c r="AA90" s="250">
        <f t="shared" si="19"/>
        <v>0</v>
      </c>
      <c r="AB90" s="251">
        <f t="shared" si="20"/>
        <v>0</v>
      </c>
      <c r="AC90" s="288">
        <f t="shared" si="21"/>
        <v>0</v>
      </c>
      <c r="AD90" s="151" t="b">
        <f t="shared" si="22"/>
        <v>1</v>
      </c>
    </row>
    <row r="91" spans="1:30" s="151" customFormat="1" ht="11.25">
      <c r="A91" s="243" t="s">
        <v>251</v>
      </c>
      <c r="B91" s="244"/>
      <c r="C91" s="276" t="s">
        <v>252</v>
      </c>
      <c r="D91" s="276" t="s">
        <v>150</v>
      </c>
      <c r="E91" s="276" t="s">
        <v>151</v>
      </c>
      <c r="F91" s="247" t="s">
        <v>224</v>
      </c>
      <c r="G91" s="277" t="s">
        <v>225</v>
      </c>
      <c r="H91" s="276" t="s">
        <v>226</v>
      </c>
      <c r="I91" s="277" t="s">
        <v>202</v>
      </c>
      <c r="J91" s="276" t="s">
        <v>203</v>
      </c>
      <c r="K91" s="280"/>
      <c r="L91" s="280"/>
      <c r="M91" s="292">
        <v>0</v>
      </c>
      <c r="N91" s="294">
        <v>0</v>
      </c>
      <c r="O91" s="293">
        <v>0</v>
      </c>
      <c r="P91" s="295">
        <v>0</v>
      </c>
      <c r="Q91" s="249">
        <v>0</v>
      </c>
      <c r="R91" s="283">
        <f t="shared" si="23"/>
        <v>0</v>
      </c>
      <c r="S91" s="283"/>
      <c r="T91" s="284"/>
      <c r="U91" s="284"/>
      <c r="V91" s="285"/>
      <c r="W91" s="284">
        <v>0.2</v>
      </c>
      <c r="X91" s="286">
        <f aca="true" t="shared" si="27" ref="X91:X101">ROUND(O91*W91,4)</f>
        <v>0</v>
      </c>
      <c r="Y91" s="287">
        <f aca="true" t="shared" si="28" ref="Y91:Y101">R91*(W91/4)</f>
        <v>0</v>
      </c>
      <c r="Z91" s="250">
        <v>724.28</v>
      </c>
      <c r="AA91" s="250">
        <f t="shared" si="19"/>
        <v>0</v>
      </c>
      <c r="AB91" s="251">
        <f t="shared" si="20"/>
        <v>0</v>
      </c>
      <c r="AC91" s="288">
        <f t="shared" si="21"/>
        <v>0</v>
      </c>
      <c r="AD91" s="151" t="b">
        <f t="shared" si="22"/>
        <v>1</v>
      </c>
    </row>
    <row r="92" spans="1:30" s="151" customFormat="1" ht="11.25">
      <c r="A92" s="243" t="s">
        <v>251</v>
      </c>
      <c r="B92" s="244"/>
      <c r="C92" s="276" t="s">
        <v>252</v>
      </c>
      <c r="D92" s="276" t="s">
        <v>204</v>
      </c>
      <c r="E92" s="276" t="s">
        <v>205</v>
      </c>
      <c r="F92" s="276"/>
      <c r="G92" s="277" t="s">
        <v>206</v>
      </c>
      <c r="H92" s="276" t="s">
        <v>207</v>
      </c>
      <c r="I92" s="277" t="s">
        <v>208</v>
      </c>
      <c r="J92" s="276" t="s">
        <v>209</v>
      </c>
      <c r="K92" s="278">
        <v>240</v>
      </c>
      <c r="L92" s="279">
        <v>88.23</v>
      </c>
      <c r="M92" s="278">
        <v>-140</v>
      </c>
      <c r="N92" s="279">
        <v>-51.49</v>
      </c>
      <c r="O92" s="281">
        <v>100</v>
      </c>
      <c r="P92" s="282">
        <v>36.74</v>
      </c>
      <c r="Q92" s="246"/>
      <c r="R92" s="283">
        <v>0</v>
      </c>
      <c r="S92" s="283"/>
      <c r="T92" s="246"/>
      <c r="U92" s="246"/>
      <c r="V92" s="285"/>
      <c r="W92" s="246">
        <v>0.01</v>
      </c>
      <c r="X92" s="286">
        <f t="shared" si="27"/>
        <v>1</v>
      </c>
      <c r="Y92" s="287">
        <f t="shared" si="28"/>
        <v>0</v>
      </c>
      <c r="Z92" s="250">
        <v>724.28</v>
      </c>
      <c r="AA92" s="250">
        <f t="shared" si="19"/>
        <v>0</v>
      </c>
      <c r="AB92" s="251">
        <f t="shared" si="20"/>
        <v>0</v>
      </c>
      <c r="AC92" s="288">
        <f t="shared" si="21"/>
        <v>0</v>
      </c>
      <c r="AD92" s="151" t="b">
        <f t="shared" si="22"/>
        <v>1</v>
      </c>
    </row>
    <row r="93" spans="1:30" s="151" customFormat="1" ht="11.25">
      <c r="A93" s="243" t="s">
        <v>251</v>
      </c>
      <c r="B93" s="244"/>
      <c r="C93" s="276" t="s">
        <v>252</v>
      </c>
      <c r="D93" s="276" t="s">
        <v>204</v>
      </c>
      <c r="E93" s="276" t="s">
        <v>205</v>
      </c>
      <c r="F93" s="276"/>
      <c r="G93" s="277" t="s">
        <v>239</v>
      </c>
      <c r="H93" s="276" t="s">
        <v>240</v>
      </c>
      <c r="I93" s="277" t="s">
        <v>208</v>
      </c>
      <c r="J93" s="276" t="s">
        <v>209</v>
      </c>
      <c r="K93" s="278">
        <v>340</v>
      </c>
      <c r="L93" s="279">
        <v>275.81</v>
      </c>
      <c r="M93" s="278">
        <v>-340</v>
      </c>
      <c r="N93" s="279">
        <v>-275.81</v>
      </c>
      <c r="O93" s="293">
        <v>0</v>
      </c>
      <c r="P93" s="295">
        <v>0</v>
      </c>
      <c r="Q93" s="246"/>
      <c r="R93" s="283">
        <v>0</v>
      </c>
      <c r="S93" s="283"/>
      <c r="T93" s="246"/>
      <c r="U93" s="246"/>
      <c r="V93" s="285"/>
      <c r="W93" s="246">
        <v>0.02</v>
      </c>
      <c r="X93" s="286">
        <f t="shared" si="27"/>
        <v>0</v>
      </c>
      <c r="Y93" s="287">
        <f t="shared" si="28"/>
        <v>0</v>
      </c>
      <c r="Z93" s="250">
        <v>724.28</v>
      </c>
      <c r="AA93" s="250">
        <f t="shared" si="19"/>
        <v>0</v>
      </c>
      <c r="AB93" s="251">
        <f t="shared" si="20"/>
        <v>0</v>
      </c>
      <c r="AC93" s="288">
        <f t="shared" si="21"/>
        <v>0</v>
      </c>
      <c r="AD93" s="151" t="b">
        <f t="shared" si="22"/>
        <v>1</v>
      </c>
    </row>
    <row r="94" spans="1:30" s="151" customFormat="1" ht="11.25">
      <c r="A94" s="243" t="s">
        <v>251</v>
      </c>
      <c r="B94" s="244"/>
      <c r="C94" s="276" t="s">
        <v>252</v>
      </c>
      <c r="D94" s="276" t="s">
        <v>204</v>
      </c>
      <c r="E94" s="276" t="s">
        <v>205</v>
      </c>
      <c r="F94" s="276"/>
      <c r="G94" s="277" t="s">
        <v>241</v>
      </c>
      <c r="H94" s="276" t="s">
        <v>242</v>
      </c>
      <c r="I94" s="277" t="s">
        <v>208</v>
      </c>
      <c r="J94" s="276" t="s">
        <v>209</v>
      </c>
      <c r="K94" s="278">
        <v>20</v>
      </c>
      <c r="L94" s="279">
        <v>24.94</v>
      </c>
      <c r="M94" s="278">
        <v>-20</v>
      </c>
      <c r="N94" s="279">
        <v>-24.94</v>
      </c>
      <c r="O94" s="293">
        <v>0</v>
      </c>
      <c r="P94" s="295">
        <v>0</v>
      </c>
      <c r="Q94" s="246"/>
      <c r="R94" s="283">
        <v>0</v>
      </c>
      <c r="S94" s="283"/>
      <c r="T94" s="246"/>
      <c r="U94" s="246"/>
      <c r="V94" s="285"/>
      <c r="W94" s="246">
        <v>0.015</v>
      </c>
      <c r="X94" s="286">
        <f t="shared" si="27"/>
        <v>0</v>
      </c>
      <c r="Y94" s="287">
        <f t="shared" si="28"/>
        <v>0</v>
      </c>
      <c r="Z94" s="250">
        <v>724.28</v>
      </c>
      <c r="AA94" s="250">
        <f t="shared" si="19"/>
        <v>0</v>
      </c>
      <c r="AB94" s="251">
        <f t="shared" si="20"/>
        <v>0</v>
      </c>
      <c r="AC94" s="288">
        <f t="shared" si="21"/>
        <v>0</v>
      </c>
      <c r="AD94" s="151" t="b">
        <f t="shared" si="22"/>
        <v>1</v>
      </c>
    </row>
    <row r="95" spans="1:30" s="151" customFormat="1" ht="11.25">
      <c r="A95" s="243" t="s">
        <v>251</v>
      </c>
      <c r="B95" s="244"/>
      <c r="C95" s="276" t="s">
        <v>252</v>
      </c>
      <c r="D95" s="276" t="s">
        <v>204</v>
      </c>
      <c r="E95" s="276" t="s">
        <v>205</v>
      </c>
      <c r="F95" s="276"/>
      <c r="G95" s="277" t="s">
        <v>243</v>
      </c>
      <c r="H95" s="276" t="s">
        <v>244</v>
      </c>
      <c r="I95" s="277" t="s">
        <v>208</v>
      </c>
      <c r="J95" s="276" t="s">
        <v>209</v>
      </c>
      <c r="K95" s="278">
        <v>20</v>
      </c>
      <c r="L95" s="279">
        <v>54.09</v>
      </c>
      <c r="M95" s="278">
        <v>-20</v>
      </c>
      <c r="N95" s="279">
        <v>-54.09</v>
      </c>
      <c r="O95" s="293">
        <v>0</v>
      </c>
      <c r="P95" s="295">
        <v>0</v>
      </c>
      <c r="Q95" s="246"/>
      <c r="R95" s="283">
        <v>0</v>
      </c>
      <c r="S95" s="283"/>
      <c r="T95" s="246"/>
      <c r="U95" s="246"/>
      <c r="V95" s="285"/>
      <c r="W95" s="246">
        <v>0.025</v>
      </c>
      <c r="X95" s="286">
        <f t="shared" si="27"/>
        <v>0</v>
      </c>
      <c r="Y95" s="287">
        <f t="shared" si="28"/>
        <v>0</v>
      </c>
      <c r="Z95" s="250">
        <v>724.28</v>
      </c>
      <c r="AA95" s="250">
        <f t="shared" si="19"/>
        <v>0</v>
      </c>
      <c r="AB95" s="251">
        <f t="shared" si="20"/>
        <v>0</v>
      </c>
      <c r="AC95" s="288">
        <f t="shared" si="21"/>
        <v>0</v>
      </c>
      <c r="AD95" s="151" t="b">
        <f t="shared" si="22"/>
        <v>1</v>
      </c>
    </row>
    <row r="96" spans="1:30" s="151" customFormat="1" ht="11.25">
      <c r="A96" s="243" t="s">
        <v>251</v>
      </c>
      <c r="B96" s="244"/>
      <c r="C96" s="276" t="s">
        <v>252</v>
      </c>
      <c r="D96" s="276" t="s">
        <v>204</v>
      </c>
      <c r="E96" s="276" t="s">
        <v>205</v>
      </c>
      <c r="F96" s="276"/>
      <c r="G96" s="277" t="s">
        <v>210</v>
      </c>
      <c r="H96" s="276" t="s">
        <v>211</v>
      </c>
      <c r="I96" s="277" t="s">
        <v>208</v>
      </c>
      <c r="J96" s="276" t="s">
        <v>209</v>
      </c>
      <c r="K96" s="278">
        <v>60</v>
      </c>
      <c r="L96" s="279">
        <v>65.89</v>
      </c>
      <c r="M96" s="278">
        <v>10</v>
      </c>
      <c r="N96" s="279">
        <v>11.03</v>
      </c>
      <c r="O96" s="281">
        <v>70</v>
      </c>
      <c r="P96" s="282">
        <v>76.92</v>
      </c>
      <c r="Q96" s="246"/>
      <c r="R96" s="283">
        <v>0</v>
      </c>
      <c r="S96" s="283"/>
      <c r="T96" s="246"/>
      <c r="U96" s="246"/>
      <c r="V96" s="285"/>
      <c r="W96" s="246">
        <v>0.015</v>
      </c>
      <c r="X96" s="286">
        <f t="shared" si="27"/>
        <v>1.05</v>
      </c>
      <c r="Y96" s="287">
        <f t="shared" si="28"/>
        <v>0</v>
      </c>
      <c r="Z96" s="250">
        <v>724.28</v>
      </c>
      <c r="AA96" s="250">
        <f t="shared" si="19"/>
        <v>0</v>
      </c>
      <c r="AB96" s="251">
        <f t="shared" si="20"/>
        <v>0</v>
      </c>
      <c r="AC96" s="288">
        <f t="shared" si="21"/>
        <v>0</v>
      </c>
      <c r="AD96" s="151" t="b">
        <f t="shared" si="22"/>
        <v>1</v>
      </c>
    </row>
    <row r="97" spans="1:30" s="151" customFormat="1" ht="11.25">
      <c r="A97" s="243" t="s">
        <v>251</v>
      </c>
      <c r="B97" s="244"/>
      <c r="C97" s="276" t="s">
        <v>252</v>
      </c>
      <c r="D97" s="276" t="s">
        <v>204</v>
      </c>
      <c r="E97" s="276" t="s">
        <v>205</v>
      </c>
      <c r="F97" s="276"/>
      <c r="G97" s="277" t="s">
        <v>245</v>
      </c>
      <c r="H97" s="276" t="s">
        <v>246</v>
      </c>
      <c r="I97" s="277" t="s">
        <v>208</v>
      </c>
      <c r="J97" s="276" t="s">
        <v>209</v>
      </c>
      <c r="K97" s="278">
        <v>110</v>
      </c>
      <c r="L97" s="279">
        <v>231.56</v>
      </c>
      <c r="M97" s="278">
        <v>30</v>
      </c>
      <c r="N97" s="279">
        <v>63.51</v>
      </c>
      <c r="O97" s="281">
        <v>140</v>
      </c>
      <c r="P97" s="282">
        <v>295.07</v>
      </c>
      <c r="Q97" s="246"/>
      <c r="R97" s="283">
        <v>0</v>
      </c>
      <c r="S97" s="283"/>
      <c r="T97" s="246"/>
      <c r="U97" s="246"/>
      <c r="V97" s="285"/>
      <c r="W97" s="246">
        <v>0.03</v>
      </c>
      <c r="X97" s="286">
        <f t="shared" si="27"/>
        <v>4.2</v>
      </c>
      <c r="Y97" s="287">
        <f t="shared" si="28"/>
        <v>0</v>
      </c>
      <c r="Z97" s="250">
        <v>724.28</v>
      </c>
      <c r="AA97" s="250">
        <f t="shared" si="19"/>
        <v>0</v>
      </c>
      <c r="AB97" s="251">
        <f t="shared" si="20"/>
        <v>0</v>
      </c>
      <c r="AC97" s="288">
        <f t="shared" si="21"/>
        <v>0</v>
      </c>
      <c r="AD97" s="151" t="b">
        <f t="shared" si="22"/>
        <v>1</v>
      </c>
    </row>
    <row r="98" spans="1:30" s="151" customFormat="1" ht="11.25">
      <c r="A98" s="243" t="s">
        <v>251</v>
      </c>
      <c r="B98" s="244"/>
      <c r="C98" s="276" t="s">
        <v>252</v>
      </c>
      <c r="D98" s="276" t="s">
        <v>204</v>
      </c>
      <c r="E98" s="276" t="s">
        <v>205</v>
      </c>
      <c r="F98" s="276"/>
      <c r="G98" s="277" t="s">
        <v>247</v>
      </c>
      <c r="H98" s="276" t="s">
        <v>248</v>
      </c>
      <c r="I98" s="277" t="s">
        <v>208</v>
      </c>
      <c r="J98" s="276" t="s">
        <v>209</v>
      </c>
      <c r="K98" s="278">
        <v>10</v>
      </c>
      <c r="L98" s="279">
        <v>30.3</v>
      </c>
      <c r="M98" s="280"/>
      <c r="N98" s="280"/>
      <c r="O98" s="281">
        <v>10</v>
      </c>
      <c r="P98" s="282">
        <v>30.3</v>
      </c>
      <c r="Q98" s="246"/>
      <c r="R98" s="283">
        <v>0</v>
      </c>
      <c r="S98" s="283"/>
      <c r="T98" s="246"/>
      <c r="U98" s="246"/>
      <c r="V98" s="285"/>
      <c r="W98" s="246">
        <v>0.03</v>
      </c>
      <c r="X98" s="286">
        <f t="shared" si="27"/>
        <v>0.3</v>
      </c>
      <c r="Y98" s="287">
        <f t="shared" si="28"/>
        <v>0</v>
      </c>
      <c r="Z98" s="250">
        <v>724.28</v>
      </c>
      <c r="AA98" s="250">
        <f t="shared" si="19"/>
        <v>0</v>
      </c>
      <c r="AB98" s="251">
        <f t="shared" si="20"/>
        <v>0</v>
      </c>
      <c r="AC98" s="288">
        <f t="shared" si="21"/>
        <v>0</v>
      </c>
      <c r="AD98" s="151" t="b">
        <f t="shared" si="22"/>
        <v>1</v>
      </c>
    </row>
    <row r="99" spans="1:30" s="151" customFormat="1" ht="11.25">
      <c r="A99" s="243" t="s">
        <v>251</v>
      </c>
      <c r="B99" s="244"/>
      <c r="C99" s="276" t="s">
        <v>252</v>
      </c>
      <c r="D99" s="276" t="s">
        <v>204</v>
      </c>
      <c r="E99" s="276" t="s">
        <v>205</v>
      </c>
      <c r="F99" s="276"/>
      <c r="G99" s="277" t="s">
        <v>249</v>
      </c>
      <c r="H99" s="276" t="s">
        <v>250</v>
      </c>
      <c r="I99" s="277" t="s">
        <v>208</v>
      </c>
      <c r="J99" s="276" t="s">
        <v>209</v>
      </c>
      <c r="K99" s="278">
        <v>10</v>
      </c>
      <c r="L99" s="279">
        <v>55.84</v>
      </c>
      <c r="M99" s="280"/>
      <c r="N99" s="280"/>
      <c r="O99" s="281">
        <v>10</v>
      </c>
      <c r="P99" s="282">
        <v>55.84</v>
      </c>
      <c r="Q99" s="246"/>
      <c r="R99" s="283">
        <v>0</v>
      </c>
      <c r="S99" s="283"/>
      <c r="T99" s="246"/>
      <c r="U99" s="246"/>
      <c r="V99" s="285"/>
      <c r="W99" s="246">
        <v>0.04</v>
      </c>
      <c r="X99" s="286">
        <f t="shared" si="27"/>
        <v>0.4</v>
      </c>
      <c r="Y99" s="287">
        <f t="shared" si="28"/>
        <v>0</v>
      </c>
      <c r="Z99" s="250">
        <v>724.28</v>
      </c>
      <c r="AA99" s="250">
        <f t="shared" si="19"/>
        <v>0</v>
      </c>
      <c r="AB99" s="251">
        <f t="shared" si="20"/>
        <v>0</v>
      </c>
      <c r="AC99" s="288">
        <f t="shared" si="21"/>
        <v>0</v>
      </c>
      <c r="AD99" s="151" t="b">
        <f t="shared" si="22"/>
        <v>1</v>
      </c>
    </row>
    <row r="100" spans="1:30" ht="11.25">
      <c r="A100" s="243" t="s">
        <v>261</v>
      </c>
      <c r="B100" s="275">
        <v>101047803</v>
      </c>
      <c r="C100" s="276" t="s">
        <v>262</v>
      </c>
      <c r="D100" s="276" t="s">
        <v>150</v>
      </c>
      <c r="E100" s="276" t="s">
        <v>151</v>
      </c>
      <c r="F100" s="247" t="s">
        <v>175</v>
      </c>
      <c r="G100" s="277" t="s">
        <v>218</v>
      </c>
      <c r="H100" s="276" t="s">
        <v>219</v>
      </c>
      <c r="I100" s="277" t="s">
        <v>155</v>
      </c>
      <c r="J100" s="276" t="s">
        <v>156</v>
      </c>
      <c r="K100" s="278">
        <v>2150</v>
      </c>
      <c r="L100" s="279">
        <v>585.22</v>
      </c>
      <c r="M100" s="278">
        <v>-1477</v>
      </c>
      <c r="N100" s="279">
        <v>-402.03</v>
      </c>
      <c r="O100" s="281">
        <v>673</v>
      </c>
      <c r="P100" s="282">
        <v>183.19</v>
      </c>
      <c r="Q100" s="249">
        <v>100</v>
      </c>
      <c r="R100" s="283">
        <f aca="true" t="shared" si="29" ref="R100:R118">ROUND(O100*Q100/100,0)</f>
        <v>673</v>
      </c>
      <c r="S100" s="283">
        <f aca="true" t="shared" si="30" ref="S100:S109">ROUND(P100*Q100/100,2)</f>
        <v>183.19</v>
      </c>
      <c r="T100" s="284"/>
      <c r="U100" s="284"/>
      <c r="V100" s="285"/>
      <c r="W100" s="284">
        <v>0.02</v>
      </c>
      <c r="X100" s="286">
        <f t="shared" si="27"/>
        <v>13.46</v>
      </c>
      <c r="Y100" s="287">
        <f t="shared" si="28"/>
        <v>3.365</v>
      </c>
      <c r="Z100" s="250">
        <v>724.28</v>
      </c>
      <c r="AA100" s="250">
        <f t="shared" si="19"/>
        <v>2437.2</v>
      </c>
      <c r="AB100" s="251">
        <f t="shared" si="20"/>
        <v>1949.76</v>
      </c>
      <c r="AC100" s="288">
        <f t="shared" si="21"/>
        <v>487.44</v>
      </c>
      <c r="AD100" s="151" t="b">
        <f t="shared" si="22"/>
        <v>1</v>
      </c>
    </row>
    <row r="101" spans="1:30" ht="11.25">
      <c r="A101" s="243" t="s">
        <v>261</v>
      </c>
      <c r="B101" s="275">
        <v>101047803</v>
      </c>
      <c r="C101" s="276" t="s">
        <v>262</v>
      </c>
      <c r="D101" s="276" t="s">
        <v>150</v>
      </c>
      <c r="E101" s="276" t="s">
        <v>151</v>
      </c>
      <c r="F101" s="247" t="s">
        <v>152</v>
      </c>
      <c r="G101" s="277" t="s">
        <v>229</v>
      </c>
      <c r="H101" s="276" t="s">
        <v>230</v>
      </c>
      <c r="I101" s="277" t="s">
        <v>202</v>
      </c>
      <c r="J101" s="276" t="s">
        <v>203</v>
      </c>
      <c r="K101" s="280"/>
      <c r="L101" s="280"/>
      <c r="M101" s="278">
        <v>692</v>
      </c>
      <c r="N101" s="279">
        <v>2771.73</v>
      </c>
      <c r="O101" s="281">
        <v>692</v>
      </c>
      <c r="P101" s="282">
        <v>2771.73</v>
      </c>
      <c r="Q101" s="249">
        <v>100</v>
      </c>
      <c r="R101" s="283">
        <f t="shared" si="29"/>
        <v>692</v>
      </c>
      <c r="S101" s="283">
        <f t="shared" si="30"/>
        <v>2771.73</v>
      </c>
      <c r="T101" s="284"/>
      <c r="U101" s="284"/>
      <c r="V101" s="285"/>
      <c r="W101" s="284">
        <v>0.025</v>
      </c>
      <c r="X101" s="286">
        <f t="shared" si="27"/>
        <v>17.3</v>
      </c>
      <c r="Y101" s="287">
        <f t="shared" si="28"/>
        <v>4.325</v>
      </c>
      <c r="Z101" s="250">
        <v>724.28</v>
      </c>
      <c r="AA101" s="250">
        <f t="shared" si="19"/>
        <v>3132.51</v>
      </c>
      <c r="AB101" s="251">
        <f t="shared" si="20"/>
        <v>2506.01</v>
      </c>
      <c r="AC101" s="288">
        <f t="shared" si="21"/>
        <v>626.5</v>
      </c>
      <c r="AD101" s="151" t="b">
        <f t="shared" si="22"/>
        <v>1</v>
      </c>
    </row>
    <row r="102" spans="1:30" ht="11.25">
      <c r="A102" s="243" t="s">
        <v>261</v>
      </c>
      <c r="B102" s="275">
        <v>101047804</v>
      </c>
      <c r="C102" s="276" t="s">
        <v>262</v>
      </c>
      <c r="D102" s="276" t="s">
        <v>150</v>
      </c>
      <c r="E102" s="276" t="s">
        <v>151</v>
      </c>
      <c r="F102" s="247" t="s">
        <v>172</v>
      </c>
      <c r="G102" s="277" t="s">
        <v>173</v>
      </c>
      <c r="H102" s="276" t="s">
        <v>174</v>
      </c>
      <c r="I102" s="277" t="s">
        <v>155</v>
      </c>
      <c r="J102" s="276" t="s">
        <v>156</v>
      </c>
      <c r="K102" s="278">
        <v>750</v>
      </c>
      <c r="L102" s="279">
        <v>482.93</v>
      </c>
      <c r="M102" s="278">
        <v>2189</v>
      </c>
      <c r="N102" s="279">
        <v>1428.36</v>
      </c>
      <c r="O102" s="281">
        <v>2939</v>
      </c>
      <c r="P102" s="282">
        <v>1911.29</v>
      </c>
      <c r="Q102" s="249">
        <v>100</v>
      </c>
      <c r="R102" s="283">
        <f t="shared" si="29"/>
        <v>2939</v>
      </c>
      <c r="S102" s="283">
        <f t="shared" si="30"/>
        <v>1911.29</v>
      </c>
      <c r="T102" s="284">
        <v>107</v>
      </c>
      <c r="U102" s="284">
        <f>ROUND(O102/T102,0)</f>
        <v>27</v>
      </c>
      <c r="V102" s="285">
        <f>ROUND(R102/T102,0)</f>
        <v>27</v>
      </c>
      <c r="W102" s="284">
        <v>1.5</v>
      </c>
      <c r="X102" s="286">
        <f>ROUND(U102*W102,4)</f>
        <v>40.5</v>
      </c>
      <c r="Y102" s="287">
        <f>V102*W102/4</f>
        <v>10.125</v>
      </c>
      <c r="Z102" s="250">
        <v>724.28</v>
      </c>
      <c r="AA102" s="250">
        <f t="shared" si="19"/>
        <v>7333.34</v>
      </c>
      <c r="AB102" s="251">
        <f t="shared" si="20"/>
        <v>5866.67</v>
      </c>
      <c r="AC102" s="288">
        <f t="shared" si="21"/>
        <v>1466.67</v>
      </c>
      <c r="AD102" s="151" t="b">
        <f t="shared" si="22"/>
        <v>1</v>
      </c>
    </row>
    <row r="103" spans="1:30" ht="11.25">
      <c r="A103" s="243" t="s">
        <v>261</v>
      </c>
      <c r="B103" s="275">
        <v>101047803</v>
      </c>
      <c r="C103" s="276" t="s">
        <v>262</v>
      </c>
      <c r="D103" s="276" t="s">
        <v>150</v>
      </c>
      <c r="E103" s="276" t="s">
        <v>151</v>
      </c>
      <c r="F103" s="247" t="s">
        <v>175</v>
      </c>
      <c r="G103" s="277" t="s">
        <v>182</v>
      </c>
      <c r="H103" s="276" t="s">
        <v>183</v>
      </c>
      <c r="I103" s="277" t="s">
        <v>155</v>
      </c>
      <c r="J103" s="276" t="s">
        <v>156</v>
      </c>
      <c r="K103" s="278">
        <v>3980</v>
      </c>
      <c r="L103" s="279">
        <v>3201.51</v>
      </c>
      <c r="M103" s="278">
        <v>-280</v>
      </c>
      <c r="N103" s="279">
        <v>-223.75</v>
      </c>
      <c r="O103" s="281">
        <v>3700</v>
      </c>
      <c r="P103" s="282">
        <v>2977.76</v>
      </c>
      <c r="Q103" s="249">
        <v>90</v>
      </c>
      <c r="R103" s="283">
        <f t="shared" si="29"/>
        <v>3330</v>
      </c>
      <c r="S103" s="283">
        <f t="shared" si="30"/>
        <v>2679.98</v>
      </c>
      <c r="T103" s="284"/>
      <c r="U103" s="284"/>
      <c r="V103" s="285"/>
      <c r="W103" s="284">
        <v>0.02</v>
      </c>
      <c r="X103" s="286">
        <f>ROUND(O103*W103,4)</f>
        <v>74</v>
      </c>
      <c r="Y103" s="287">
        <f>R103*(W103/4)</f>
        <v>16.65</v>
      </c>
      <c r="Z103" s="250">
        <v>724.28</v>
      </c>
      <c r="AA103" s="250">
        <f t="shared" si="19"/>
        <v>12059.26</v>
      </c>
      <c r="AB103" s="251">
        <f t="shared" si="20"/>
        <v>9647.41</v>
      </c>
      <c r="AC103" s="288">
        <f t="shared" si="21"/>
        <v>2411.85</v>
      </c>
      <c r="AD103" s="151" t="b">
        <f t="shared" si="22"/>
        <v>1</v>
      </c>
    </row>
    <row r="104" spans="1:30" s="151" customFormat="1" ht="11.25">
      <c r="A104" s="243" t="s">
        <v>261</v>
      </c>
      <c r="B104" s="275">
        <v>101047803</v>
      </c>
      <c r="C104" s="276" t="s">
        <v>262</v>
      </c>
      <c r="D104" s="276" t="s">
        <v>150</v>
      </c>
      <c r="E104" s="276" t="s">
        <v>151</v>
      </c>
      <c r="F104" s="247" t="s">
        <v>175</v>
      </c>
      <c r="G104" s="277" t="s">
        <v>184</v>
      </c>
      <c r="H104" s="276" t="s">
        <v>185</v>
      </c>
      <c r="I104" s="277" t="s">
        <v>155</v>
      </c>
      <c r="J104" s="276" t="s">
        <v>156</v>
      </c>
      <c r="K104" s="278">
        <v>3125</v>
      </c>
      <c r="L104" s="279">
        <v>1673.81</v>
      </c>
      <c r="M104" s="278">
        <v>-209</v>
      </c>
      <c r="N104" s="279">
        <v>-107.21</v>
      </c>
      <c r="O104" s="281">
        <v>2916</v>
      </c>
      <c r="P104" s="282">
        <v>1566.6</v>
      </c>
      <c r="Q104" s="291">
        <v>90</v>
      </c>
      <c r="R104" s="283">
        <f t="shared" si="29"/>
        <v>2624</v>
      </c>
      <c r="S104" s="283">
        <f t="shared" si="30"/>
        <v>1409.94</v>
      </c>
      <c r="T104" s="284"/>
      <c r="U104" s="284"/>
      <c r="V104" s="285"/>
      <c r="W104" s="284">
        <v>0.02</v>
      </c>
      <c r="X104" s="286">
        <f>ROUND(O104*W104,4)</f>
        <v>58.32</v>
      </c>
      <c r="Y104" s="287">
        <f>R104*(W104/4)</f>
        <v>13.120000000000001</v>
      </c>
      <c r="Z104" s="250">
        <v>724.28</v>
      </c>
      <c r="AA104" s="250">
        <f t="shared" si="19"/>
        <v>9502.55</v>
      </c>
      <c r="AB104" s="251">
        <f t="shared" si="20"/>
        <v>7602.04</v>
      </c>
      <c r="AC104" s="288">
        <f t="shared" si="21"/>
        <v>1900.51</v>
      </c>
      <c r="AD104" s="151" t="b">
        <f t="shared" si="22"/>
        <v>1</v>
      </c>
    </row>
    <row r="105" spans="1:30" s="151" customFormat="1" ht="11.25">
      <c r="A105" s="243" t="s">
        <v>261</v>
      </c>
      <c r="B105" s="275">
        <v>101047803</v>
      </c>
      <c r="C105" s="276" t="s">
        <v>262</v>
      </c>
      <c r="D105" s="276" t="s">
        <v>150</v>
      </c>
      <c r="E105" s="276" t="s">
        <v>151</v>
      </c>
      <c r="F105" s="247" t="s">
        <v>175</v>
      </c>
      <c r="G105" s="277" t="s">
        <v>176</v>
      </c>
      <c r="H105" s="276" t="s">
        <v>177</v>
      </c>
      <c r="I105" s="277" t="s">
        <v>155</v>
      </c>
      <c r="J105" s="276" t="s">
        <v>156</v>
      </c>
      <c r="K105" s="278">
        <v>800</v>
      </c>
      <c r="L105" s="279">
        <v>231.69</v>
      </c>
      <c r="M105" s="278">
        <v>-800</v>
      </c>
      <c r="N105" s="279">
        <v>-254.76</v>
      </c>
      <c r="O105" s="293">
        <v>0</v>
      </c>
      <c r="P105" s="282">
        <v>-23.07</v>
      </c>
      <c r="Q105" s="249">
        <v>75</v>
      </c>
      <c r="R105" s="283">
        <f t="shared" si="29"/>
        <v>0</v>
      </c>
      <c r="S105" s="283">
        <f t="shared" si="30"/>
        <v>-17.3</v>
      </c>
      <c r="T105" s="284"/>
      <c r="U105" s="284"/>
      <c r="V105" s="285"/>
      <c r="W105" s="284">
        <v>0.05</v>
      </c>
      <c r="X105" s="286">
        <f>ROUND(O105*W105,4)</f>
        <v>0</v>
      </c>
      <c r="Y105" s="287">
        <f>R105*(W105/4)</f>
        <v>0</v>
      </c>
      <c r="Z105" s="250">
        <v>724.28</v>
      </c>
      <c r="AA105" s="250">
        <f t="shared" si="19"/>
        <v>0</v>
      </c>
      <c r="AB105" s="251">
        <f t="shared" si="20"/>
        <v>0</v>
      </c>
      <c r="AC105" s="288">
        <f t="shared" si="21"/>
        <v>0</v>
      </c>
      <c r="AD105" s="151" t="b">
        <f t="shared" si="22"/>
        <v>1</v>
      </c>
    </row>
    <row r="106" spans="1:30" s="151" customFormat="1" ht="11.25">
      <c r="A106" s="243" t="s">
        <v>261</v>
      </c>
      <c r="B106" s="275">
        <v>101047803</v>
      </c>
      <c r="C106" s="276" t="s">
        <v>262</v>
      </c>
      <c r="D106" s="276" t="s">
        <v>150</v>
      </c>
      <c r="E106" s="276" t="s">
        <v>151</v>
      </c>
      <c r="F106" s="247" t="s">
        <v>175</v>
      </c>
      <c r="G106" s="277" t="s">
        <v>186</v>
      </c>
      <c r="H106" s="276" t="s">
        <v>187</v>
      </c>
      <c r="I106" s="277" t="s">
        <v>155</v>
      </c>
      <c r="J106" s="276" t="s">
        <v>156</v>
      </c>
      <c r="K106" s="278">
        <v>17386</v>
      </c>
      <c r="L106" s="279">
        <v>2465.6</v>
      </c>
      <c r="M106" s="278">
        <v>1145</v>
      </c>
      <c r="N106" s="279">
        <v>161.24</v>
      </c>
      <c r="O106" s="281">
        <v>18531</v>
      </c>
      <c r="P106" s="282">
        <v>2626.84</v>
      </c>
      <c r="Q106" s="249">
        <v>75</v>
      </c>
      <c r="R106" s="283">
        <f t="shared" si="29"/>
        <v>13898</v>
      </c>
      <c r="S106" s="283">
        <f t="shared" si="30"/>
        <v>1970.13</v>
      </c>
      <c r="T106" s="284"/>
      <c r="U106" s="284"/>
      <c r="V106" s="285"/>
      <c r="W106" s="284">
        <v>0.05</v>
      </c>
      <c r="X106" s="286">
        <f>ROUND(O106*W106,4)</f>
        <v>926.55</v>
      </c>
      <c r="Y106" s="287">
        <f>R106*(W106/4)</f>
        <v>173.72500000000002</v>
      </c>
      <c r="Z106" s="250">
        <v>724.28</v>
      </c>
      <c r="AA106" s="250">
        <f t="shared" si="19"/>
        <v>125825.54</v>
      </c>
      <c r="AB106" s="251">
        <f t="shared" si="20"/>
        <v>100660.43</v>
      </c>
      <c r="AC106" s="288">
        <f t="shared" si="21"/>
        <v>25165.11</v>
      </c>
      <c r="AD106" s="151" t="b">
        <f t="shared" si="22"/>
        <v>1</v>
      </c>
    </row>
    <row r="107" spans="1:30" s="151" customFormat="1" ht="11.25">
      <c r="A107" s="243" t="s">
        <v>261</v>
      </c>
      <c r="B107" s="275">
        <v>101047803</v>
      </c>
      <c r="C107" s="276" t="s">
        <v>262</v>
      </c>
      <c r="D107" s="276" t="s">
        <v>150</v>
      </c>
      <c r="E107" s="276" t="s">
        <v>151</v>
      </c>
      <c r="F107" s="247" t="s">
        <v>152</v>
      </c>
      <c r="G107" s="277" t="s">
        <v>159</v>
      </c>
      <c r="H107" s="276" t="s">
        <v>160</v>
      </c>
      <c r="I107" s="277" t="s">
        <v>155</v>
      </c>
      <c r="J107" s="276" t="s">
        <v>156</v>
      </c>
      <c r="K107" s="278">
        <v>1885</v>
      </c>
      <c r="L107" s="279">
        <v>1400.51</v>
      </c>
      <c r="M107" s="278">
        <v>290</v>
      </c>
      <c r="N107" s="279">
        <v>208.71</v>
      </c>
      <c r="O107" s="281">
        <v>2175</v>
      </c>
      <c r="P107" s="282">
        <v>1609.22</v>
      </c>
      <c r="Q107" s="249">
        <v>75</v>
      </c>
      <c r="R107" s="283">
        <f t="shared" si="29"/>
        <v>1631</v>
      </c>
      <c r="S107" s="283">
        <f t="shared" si="30"/>
        <v>1206.92</v>
      </c>
      <c r="T107" s="284"/>
      <c r="U107" s="284"/>
      <c r="V107" s="285"/>
      <c r="W107" s="284">
        <v>0.05</v>
      </c>
      <c r="X107" s="286">
        <f>ROUND(O107*W107,4)</f>
        <v>108.75</v>
      </c>
      <c r="Y107" s="287">
        <f>R107*(W107/4)</f>
        <v>20.387500000000003</v>
      </c>
      <c r="Z107" s="250">
        <v>724.28</v>
      </c>
      <c r="AA107" s="250">
        <f t="shared" si="19"/>
        <v>14766.26</v>
      </c>
      <c r="AB107" s="251">
        <f t="shared" si="20"/>
        <v>11813.01</v>
      </c>
      <c r="AC107" s="288">
        <f t="shared" si="21"/>
        <v>2953.25</v>
      </c>
      <c r="AD107" s="151" t="b">
        <f t="shared" si="22"/>
        <v>1</v>
      </c>
    </row>
    <row r="108" spans="1:30" s="151" customFormat="1" ht="11.25">
      <c r="A108" s="243" t="s">
        <v>261</v>
      </c>
      <c r="B108" s="275">
        <v>101047804</v>
      </c>
      <c r="C108" s="276" t="s">
        <v>262</v>
      </c>
      <c r="D108" s="276" t="s">
        <v>150</v>
      </c>
      <c r="E108" s="276" t="s">
        <v>151</v>
      </c>
      <c r="F108" s="247" t="s">
        <v>172</v>
      </c>
      <c r="G108" s="277" t="s">
        <v>196</v>
      </c>
      <c r="H108" s="276" t="s">
        <v>197</v>
      </c>
      <c r="I108" s="277" t="s">
        <v>155</v>
      </c>
      <c r="J108" s="276" t="s">
        <v>156</v>
      </c>
      <c r="K108" s="278">
        <v>1300</v>
      </c>
      <c r="L108" s="279">
        <v>556.76</v>
      </c>
      <c r="M108" s="278">
        <v>2736</v>
      </c>
      <c r="N108" s="279">
        <v>1182.44</v>
      </c>
      <c r="O108" s="281">
        <v>4036</v>
      </c>
      <c r="P108" s="282">
        <v>1739.2</v>
      </c>
      <c r="Q108" s="249">
        <v>60</v>
      </c>
      <c r="R108" s="283">
        <f t="shared" si="29"/>
        <v>2422</v>
      </c>
      <c r="S108" s="283">
        <f t="shared" si="30"/>
        <v>1043.52</v>
      </c>
      <c r="T108" s="284">
        <v>107</v>
      </c>
      <c r="U108" s="284">
        <f>ROUND(O108/T108,0)</f>
        <v>38</v>
      </c>
      <c r="V108" s="285">
        <f>ROUND(R108/T108,0)</f>
        <v>23</v>
      </c>
      <c r="W108" s="284">
        <v>1.5</v>
      </c>
      <c r="X108" s="286">
        <f>ROUND(U108*W108,4)</f>
        <v>57</v>
      </c>
      <c r="Y108" s="287">
        <f>V108*W108/4</f>
        <v>8.625</v>
      </c>
      <c r="Z108" s="250">
        <v>724.28</v>
      </c>
      <c r="AA108" s="250">
        <f t="shared" si="19"/>
        <v>6246.92</v>
      </c>
      <c r="AB108" s="251">
        <f t="shared" si="20"/>
        <v>4997.54</v>
      </c>
      <c r="AC108" s="288">
        <f t="shared" si="21"/>
        <v>1249.38</v>
      </c>
      <c r="AD108" s="151" t="b">
        <f t="shared" si="22"/>
        <v>1</v>
      </c>
    </row>
    <row r="109" spans="1:30" s="151" customFormat="1" ht="11.25">
      <c r="A109" s="243" t="s">
        <v>261</v>
      </c>
      <c r="B109" s="275">
        <v>101047804</v>
      </c>
      <c r="C109" s="276" t="s">
        <v>262</v>
      </c>
      <c r="D109" s="276" t="s">
        <v>150</v>
      </c>
      <c r="E109" s="276" t="s">
        <v>151</v>
      </c>
      <c r="F109" s="247" t="s">
        <v>172</v>
      </c>
      <c r="G109" s="277" t="s">
        <v>188</v>
      </c>
      <c r="H109" s="276" t="s">
        <v>189</v>
      </c>
      <c r="I109" s="277" t="s">
        <v>155</v>
      </c>
      <c r="J109" s="276" t="s">
        <v>156</v>
      </c>
      <c r="K109" s="278">
        <v>6064</v>
      </c>
      <c r="L109" s="279">
        <v>2634.67</v>
      </c>
      <c r="M109" s="278">
        <v>-964</v>
      </c>
      <c r="N109" s="279">
        <v>-423.19</v>
      </c>
      <c r="O109" s="281">
        <v>5100</v>
      </c>
      <c r="P109" s="282">
        <v>2211.48</v>
      </c>
      <c r="Q109" s="249">
        <v>60</v>
      </c>
      <c r="R109" s="283">
        <f t="shared" si="29"/>
        <v>3060</v>
      </c>
      <c r="S109" s="283">
        <f t="shared" si="30"/>
        <v>1326.89</v>
      </c>
      <c r="T109" s="284">
        <v>107</v>
      </c>
      <c r="U109" s="284">
        <f>ROUND(O109/T109,0)</f>
        <v>48</v>
      </c>
      <c r="V109" s="285">
        <f>ROUND(R109/T109,0)</f>
        <v>29</v>
      </c>
      <c r="W109" s="284">
        <v>1.5</v>
      </c>
      <c r="X109" s="286">
        <f>ROUND(U109*W109,4)</f>
        <v>72</v>
      </c>
      <c r="Y109" s="287">
        <f>V109*W109/4</f>
        <v>10.875</v>
      </c>
      <c r="Z109" s="250">
        <v>724.28</v>
      </c>
      <c r="AA109" s="250">
        <f t="shared" si="19"/>
        <v>7876.55</v>
      </c>
      <c r="AB109" s="251">
        <f t="shared" si="20"/>
        <v>6301.24</v>
      </c>
      <c r="AC109" s="288">
        <f t="shared" si="21"/>
        <v>1575.31</v>
      </c>
      <c r="AD109" s="151" t="b">
        <f t="shared" si="22"/>
        <v>1</v>
      </c>
    </row>
    <row r="110" spans="1:30" s="151" customFormat="1" ht="11.25">
      <c r="A110" s="243" t="s">
        <v>261</v>
      </c>
      <c r="B110" s="275"/>
      <c r="C110" s="276" t="s">
        <v>262</v>
      </c>
      <c r="D110" s="276" t="s">
        <v>150</v>
      </c>
      <c r="E110" s="276" t="s">
        <v>151</v>
      </c>
      <c r="F110" s="247" t="s">
        <v>175</v>
      </c>
      <c r="G110" s="277" t="s">
        <v>227</v>
      </c>
      <c r="H110" s="276" t="s">
        <v>228</v>
      </c>
      <c r="I110" s="277" t="s">
        <v>202</v>
      </c>
      <c r="J110" s="276" t="s">
        <v>203</v>
      </c>
      <c r="K110" s="278">
        <v>552</v>
      </c>
      <c r="L110" s="279">
        <v>979.08</v>
      </c>
      <c r="M110" s="280"/>
      <c r="N110" s="280"/>
      <c r="O110" s="281">
        <v>552</v>
      </c>
      <c r="P110" s="282">
        <v>979.08</v>
      </c>
      <c r="Q110" s="249">
        <v>0</v>
      </c>
      <c r="R110" s="283">
        <f t="shared" si="29"/>
        <v>0</v>
      </c>
      <c r="S110" s="283"/>
      <c r="T110" s="284"/>
      <c r="U110" s="284"/>
      <c r="V110" s="285"/>
      <c r="W110" s="284">
        <v>0.07</v>
      </c>
      <c r="X110" s="286">
        <f>ROUND(O110*W110,4)</f>
        <v>38.64</v>
      </c>
      <c r="Y110" s="287">
        <f>R110*(W110/4)</f>
        <v>0</v>
      </c>
      <c r="Z110" s="250">
        <v>724.28</v>
      </c>
      <c r="AA110" s="250">
        <f t="shared" si="19"/>
        <v>0</v>
      </c>
      <c r="AB110" s="251">
        <f t="shared" si="20"/>
        <v>0</v>
      </c>
      <c r="AC110" s="288">
        <f t="shared" si="21"/>
        <v>0</v>
      </c>
      <c r="AD110" s="151" t="b">
        <f t="shared" si="22"/>
        <v>1</v>
      </c>
    </row>
    <row r="111" spans="1:30" s="151" customFormat="1" ht="11.25">
      <c r="A111" s="243" t="s">
        <v>261</v>
      </c>
      <c r="B111" s="275"/>
      <c r="C111" s="276" t="s">
        <v>262</v>
      </c>
      <c r="D111" s="276" t="s">
        <v>150</v>
      </c>
      <c r="E111" s="276" t="s">
        <v>151</v>
      </c>
      <c r="F111" s="247" t="s">
        <v>152</v>
      </c>
      <c r="G111" s="277" t="s">
        <v>157</v>
      </c>
      <c r="H111" s="276" t="s">
        <v>158</v>
      </c>
      <c r="I111" s="277" t="s">
        <v>155</v>
      </c>
      <c r="J111" s="276" t="s">
        <v>156</v>
      </c>
      <c r="K111" s="278">
        <v>756</v>
      </c>
      <c r="L111" s="279">
        <v>319.73</v>
      </c>
      <c r="M111" s="278">
        <v>-756</v>
      </c>
      <c r="N111" s="279">
        <v>-342.09</v>
      </c>
      <c r="O111" s="293">
        <v>0</v>
      </c>
      <c r="P111" s="282">
        <v>-22.36</v>
      </c>
      <c r="Q111" s="249">
        <v>0</v>
      </c>
      <c r="R111" s="283">
        <f t="shared" si="29"/>
        <v>0</v>
      </c>
      <c r="S111" s="283"/>
      <c r="T111" s="284"/>
      <c r="U111" s="284"/>
      <c r="V111" s="285"/>
      <c r="W111" s="284">
        <v>0.025</v>
      </c>
      <c r="X111" s="286">
        <f>ROUND(O111*W111,4)</f>
        <v>0</v>
      </c>
      <c r="Y111" s="287">
        <f>R111*(W111/4)</f>
        <v>0</v>
      </c>
      <c r="Z111" s="250">
        <v>724.28</v>
      </c>
      <c r="AA111" s="250">
        <f t="shared" si="19"/>
        <v>0</v>
      </c>
      <c r="AB111" s="251">
        <f t="shared" si="20"/>
        <v>0</v>
      </c>
      <c r="AC111" s="288">
        <f t="shared" si="21"/>
        <v>0</v>
      </c>
      <c r="AD111" s="151" t="b">
        <f t="shared" si="22"/>
        <v>1</v>
      </c>
    </row>
    <row r="112" spans="1:30" s="151" customFormat="1" ht="11.25">
      <c r="A112" s="243" t="s">
        <v>261</v>
      </c>
      <c r="B112" s="244"/>
      <c r="C112" s="276" t="s">
        <v>262</v>
      </c>
      <c r="D112" s="276" t="s">
        <v>150</v>
      </c>
      <c r="E112" s="276" t="s">
        <v>151</v>
      </c>
      <c r="F112" s="247" t="s">
        <v>190</v>
      </c>
      <c r="G112" s="277" t="s">
        <v>191</v>
      </c>
      <c r="H112" s="276" t="s">
        <v>192</v>
      </c>
      <c r="I112" s="277" t="s">
        <v>155</v>
      </c>
      <c r="J112" s="276" t="s">
        <v>156</v>
      </c>
      <c r="K112" s="278">
        <v>1020</v>
      </c>
      <c r="L112" s="279">
        <v>509.66</v>
      </c>
      <c r="M112" s="278">
        <v>-66</v>
      </c>
      <c r="N112" s="279">
        <v>-25.18</v>
      </c>
      <c r="O112" s="281">
        <v>954</v>
      </c>
      <c r="P112" s="282">
        <v>484.48</v>
      </c>
      <c r="Q112" s="249">
        <v>0</v>
      </c>
      <c r="R112" s="283">
        <f t="shared" si="29"/>
        <v>0</v>
      </c>
      <c r="S112" s="283"/>
      <c r="T112" s="284"/>
      <c r="U112" s="284"/>
      <c r="V112" s="285"/>
      <c r="W112" s="284">
        <v>0.02</v>
      </c>
      <c r="X112" s="286">
        <f>ROUND(O112*W112,4)</f>
        <v>19.08</v>
      </c>
      <c r="Y112" s="287">
        <f>R112*(W112/4)</f>
        <v>0</v>
      </c>
      <c r="Z112" s="250">
        <v>724.28</v>
      </c>
      <c r="AA112" s="250">
        <f t="shared" si="19"/>
        <v>0</v>
      </c>
      <c r="AB112" s="251">
        <f t="shared" si="20"/>
        <v>0</v>
      </c>
      <c r="AC112" s="288">
        <f t="shared" si="21"/>
        <v>0</v>
      </c>
      <c r="AD112" s="151" t="b">
        <f t="shared" si="22"/>
        <v>1</v>
      </c>
    </row>
    <row r="113" spans="1:30" s="151" customFormat="1" ht="11.25">
      <c r="A113" s="243" t="s">
        <v>261</v>
      </c>
      <c r="B113" s="244"/>
      <c r="C113" s="276" t="s">
        <v>262</v>
      </c>
      <c r="D113" s="276" t="s">
        <v>150</v>
      </c>
      <c r="E113" s="276" t="s">
        <v>151</v>
      </c>
      <c r="F113" s="247" t="s">
        <v>231</v>
      </c>
      <c r="G113" s="277" t="s">
        <v>232</v>
      </c>
      <c r="H113" s="276" t="s">
        <v>233</v>
      </c>
      <c r="I113" s="277" t="s">
        <v>155</v>
      </c>
      <c r="J113" s="276" t="s">
        <v>156</v>
      </c>
      <c r="K113" s="278">
        <v>140</v>
      </c>
      <c r="L113" s="279">
        <v>112.5</v>
      </c>
      <c r="M113" s="278">
        <v>3845</v>
      </c>
      <c r="N113" s="279">
        <v>2906.62</v>
      </c>
      <c r="O113" s="281">
        <v>3985</v>
      </c>
      <c r="P113" s="282">
        <v>3019.12</v>
      </c>
      <c r="Q113" s="249">
        <v>0</v>
      </c>
      <c r="R113" s="283">
        <f t="shared" si="29"/>
        <v>0</v>
      </c>
      <c r="S113" s="283"/>
      <c r="T113" s="284"/>
      <c r="U113" s="284"/>
      <c r="V113" s="285"/>
      <c r="W113" s="284">
        <v>0.05</v>
      </c>
      <c r="X113" s="286">
        <f>ROUND(O113*W113,4)</f>
        <v>199.25</v>
      </c>
      <c r="Y113" s="287">
        <f>R113*(W113/4)</f>
        <v>0</v>
      </c>
      <c r="Z113" s="250">
        <v>724.28</v>
      </c>
      <c r="AA113" s="250">
        <f t="shared" si="19"/>
        <v>0</v>
      </c>
      <c r="AB113" s="251">
        <f t="shared" si="20"/>
        <v>0</v>
      </c>
      <c r="AC113" s="288">
        <f t="shared" si="21"/>
        <v>0</v>
      </c>
      <c r="AD113" s="151" t="b">
        <f t="shared" si="22"/>
        <v>1</v>
      </c>
    </row>
    <row r="114" spans="1:30" s="151" customFormat="1" ht="11.25">
      <c r="A114" s="243" t="s">
        <v>261</v>
      </c>
      <c r="B114" s="244"/>
      <c r="C114" s="276" t="s">
        <v>262</v>
      </c>
      <c r="D114" s="276" t="s">
        <v>150</v>
      </c>
      <c r="E114" s="276" t="s">
        <v>151</v>
      </c>
      <c r="F114" s="247" t="s">
        <v>193</v>
      </c>
      <c r="G114" s="277" t="s">
        <v>194</v>
      </c>
      <c r="H114" s="276" t="s">
        <v>195</v>
      </c>
      <c r="I114" s="277" t="s">
        <v>155</v>
      </c>
      <c r="J114" s="276" t="s">
        <v>156</v>
      </c>
      <c r="K114" s="278">
        <v>20</v>
      </c>
      <c r="L114" s="279">
        <v>53.38</v>
      </c>
      <c r="M114" s="278">
        <v>120</v>
      </c>
      <c r="N114" s="279">
        <v>318.3</v>
      </c>
      <c r="O114" s="281">
        <v>140</v>
      </c>
      <c r="P114" s="282">
        <v>371.68</v>
      </c>
      <c r="Q114" s="249">
        <v>0</v>
      </c>
      <c r="R114" s="283">
        <f t="shared" si="29"/>
        <v>0</v>
      </c>
      <c r="S114" s="283"/>
      <c r="T114" s="284"/>
      <c r="U114" s="284"/>
      <c r="V114" s="285"/>
      <c r="W114" s="284">
        <v>0.02</v>
      </c>
      <c r="X114" s="286">
        <f>ROUND(O114*W114,4)</f>
        <v>2.8</v>
      </c>
      <c r="Y114" s="287">
        <f>R114*(W114/4)</f>
        <v>0</v>
      </c>
      <c r="Z114" s="250">
        <v>724.28</v>
      </c>
      <c r="AA114" s="250">
        <f t="shared" si="19"/>
        <v>0</v>
      </c>
      <c r="AB114" s="251">
        <f t="shared" si="20"/>
        <v>0</v>
      </c>
      <c r="AC114" s="288">
        <f t="shared" si="21"/>
        <v>0</v>
      </c>
      <c r="AD114" s="151" t="b">
        <f t="shared" si="22"/>
        <v>1</v>
      </c>
    </row>
    <row r="115" spans="1:30" s="151" customFormat="1" ht="11.25">
      <c r="A115" s="243" t="s">
        <v>261</v>
      </c>
      <c r="B115" s="275"/>
      <c r="C115" s="276" t="s">
        <v>262</v>
      </c>
      <c r="D115" s="276" t="s">
        <v>150</v>
      </c>
      <c r="E115" s="276" t="s">
        <v>151</v>
      </c>
      <c r="F115" s="247" t="s">
        <v>172</v>
      </c>
      <c r="G115" s="277" t="s">
        <v>178</v>
      </c>
      <c r="H115" s="276" t="s">
        <v>179</v>
      </c>
      <c r="I115" s="277" t="s">
        <v>155</v>
      </c>
      <c r="J115" s="276" t="s">
        <v>156</v>
      </c>
      <c r="K115" s="278">
        <v>300</v>
      </c>
      <c r="L115" s="279">
        <v>349.56</v>
      </c>
      <c r="M115" s="280"/>
      <c r="N115" s="280"/>
      <c r="O115" s="281">
        <v>300</v>
      </c>
      <c r="P115" s="282">
        <v>349.56</v>
      </c>
      <c r="Q115" s="249">
        <v>0</v>
      </c>
      <c r="R115" s="283">
        <f t="shared" si="29"/>
        <v>0</v>
      </c>
      <c r="S115" s="283"/>
      <c r="T115" s="284">
        <v>107</v>
      </c>
      <c r="U115" s="284">
        <f>ROUND(O115/T115,0)</f>
        <v>3</v>
      </c>
      <c r="V115" s="285">
        <f>ROUND(R115/T115,0)</f>
        <v>0</v>
      </c>
      <c r="W115" s="284">
        <v>1.5</v>
      </c>
      <c r="X115" s="286">
        <f>ROUND(U115*W115,4)</f>
        <v>4.5</v>
      </c>
      <c r="Y115" s="287">
        <f>V115*W115/4</f>
        <v>0</v>
      </c>
      <c r="Z115" s="250">
        <v>724.28</v>
      </c>
      <c r="AA115" s="250">
        <f t="shared" si="19"/>
        <v>0</v>
      </c>
      <c r="AB115" s="251">
        <f t="shared" si="20"/>
        <v>0</v>
      </c>
      <c r="AC115" s="288">
        <f t="shared" si="21"/>
        <v>0</v>
      </c>
      <c r="AD115" s="151" t="b">
        <f t="shared" si="22"/>
        <v>1</v>
      </c>
    </row>
    <row r="116" spans="1:30" s="151" customFormat="1" ht="11.25">
      <c r="A116" s="243" t="s">
        <v>261</v>
      </c>
      <c r="B116" s="275"/>
      <c r="C116" s="276" t="s">
        <v>262</v>
      </c>
      <c r="D116" s="276" t="s">
        <v>150</v>
      </c>
      <c r="E116" s="276" t="s">
        <v>151</v>
      </c>
      <c r="F116" s="247" t="s">
        <v>172</v>
      </c>
      <c r="G116" s="277" t="s">
        <v>214</v>
      </c>
      <c r="H116" s="276" t="s">
        <v>215</v>
      </c>
      <c r="I116" s="277" t="s">
        <v>155</v>
      </c>
      <c r="J116" s="276" t="s">
        <v>156</v>
      </c>
      <c r="K116" s="280"/>
      <c r="L116" s="280"/>
      <c r="M116" s="278">
        <v>137</v>
      </c>
      <c r="N116" s="279">
        <v>78.41</v>
      </c>
      <c r="O116" s="281">
        <v>137</v>
      </c>
      <c r="P116" s="282">
        <v>78.41</v>
      </c>
      <c r="Q116" s="249">
        <v>0</v>
      </c>
      <c r="R116" s="283">
        <f t="shared" si="29"/>
        <v>0</v>
      </c>
      <c r="S116" s="283"/>
      <c r="T116" s="284">
        <v>107</v>
      </c>
      <c r="U116" s="284">
        <f>ROUND(O116/T116,0)</f>
        <v>1</v>
      </c>
      <c r="V116" s="285">
        <f>ROUND(R116/T116,0)</f>
        <v>0</v>
      </c>
      <c r="W116" s="284">
        <v>1.5</v>
      </c>
      <c r="X116" s="286">
        <f>ROUND(ROUND(O116/T116,0)*W116,4)</f>
        <v>1.5</v>
      </c>
      <c r="Y116" s="287">
        <f>V116*W116/4</f>
        <v>0</v>
      </c>
      <c r="Z116" s="250">
        <v>724.28</v>
      </c>
      <c r="AA116" s="250">
        <f t="shared" si="19"/>
        <v>0</v>
      </c>
      <c r="AB116" s="251">
        <f t="shared" si="20"/>
        <v>0</v>
      </c>
      <c r="AC116" s="288">
        <f t="shared" si="21"/>
        <v>0</v>
      </c>
      <c r="AD116" s="151" t="b">
        <f t="shared" si="22"/>
        <v>1</v>
      </c>
    </row>
    <row r="117" spans="1:30" s="151" customFormat="1" ht="11.25">
      <c r="A117" s="243" t="s">
        <v>261</v>
      </c>
      <c r="B117" s="275"/>
      <c r="C117" s="276" t="s">
        <v>262</v>
      </c>
      <c r="D117" s="276" t="s">
        <v>150</v>
      </c>
      <c r="E117" s="276" t="s">
        <v>151</v>
      </c>
      <c r="F117" s="247" t="s">
        <v>172</v>
      </c>
      <c r="G117" s="277" t="s">
        <v>200</v>
      </c>
      <c r="H117" s="276" t="s">
        <v>201</v>
      </c>
      <c r="I117" s="277" t="s">
        <v>202</v>
      </c>
      <c r="J117" s="276" t="s">
        <v>203</v>
      </c>
      <c r="K117" s="278">
        <v>25</v>
      </c>
      <c r="L117" s="279">
        <v>34.52</v>
      </c>
      <c r="M117" s="280"/>
      <c r="N117" s="280"/>
      <c r="O117" s="281">
        <v>25</v>
      </c>
      <c r="P117" s="282">
        <v>34.52</v>
      </c>
      <c r="Q117" s="249">
        <v>0</v>
      </c>
      <c r="R117" s="283">
        <f t="shared" si="29"/>
        <v>0</v>
      </c>
      <c r="S117" s="283"/>
      <c r="T117" s="284">
        <v>107</v>
      </c>
      <c r="U117" s="284">
        <f>ROUND(O117/T117,0)</f>
        <v>0</v>
      </c>
      <c r="V117" s="285">
        <f>ROUND(R117/T117,0)</f>
        <v>0</v>
      </c>
      <c r="W117" s="284">
        <v>1.5</v>
      </c>
      <c r="X117" s="286">
        <f>ROUND(ROUND(O117/T117,0)*W117,4)</f>
        <v>0</v>
      </c>
      <c r="Y117" s="287">
        <f>V117*W117/4</f>
        <v>0</v>
      </c>
      <c r="Z117" s="250">
        <v>724.28</v>
      </c>
      <c r="AA117" s="250">
        <f t="shared" si="19"/>
        <v>0</v>
      </c>
      <c r="AB117" s="251">
        <f t="shared" si="20"/>
        <v>0</v>
      </c>
      <c r="AC117" s="288">
        <f t="shared" si="21"/>
        <v>0</v>
      </c>
      <c r="AD117" s="151" t="b">
        <f t="shared" si="22"/>
        <v>1</v>
      </c>
    </row>
    <row r="118" spans="1:30" s="151" customFormat="1" ht="11.25">
      <c r="A118" s="243" t="s">
        <v>261</v>
      </c>
      <c r="B118" s="275"/>
      <c r="C118" s="276" t="s">
        <v>262</v>
      </c>
      <c r="D118" s="276" t="s">
        <v>150</v>
      </c>
      <c r="E118" s="276" t="s">
        <v>151</v>
      </c>
      <c r="F118" s="247" t="s">
        <v>224</v>
      </c>
      <c r="G118" s="277" t="s">
        <v>263</v>
      </c>
      <c r="H118" s="276" t="s">
        <v>264</v>
      </c>
      <c r="I118" s="277" t="s">
        <v>155</v>
      </c>
      <c r="J118" s="276" t="s">
        <v>156</v>
      </c>
      <c r="K118" s="280"/>
      <c r="L118" s="280"/>
      <c r="M118" s="278">
        <v>-30</v>
      </c>
      <c r="N118" s="279">
        <v>-6.91</v>
      </c>
      <c r="O118" s="281">
        <v>-30</v>
      </c>
      <c r="P118" s="282">
        <v>-6.91</v>
      </c>
      <c r="Q118" s="249">
        <v>0</v>
      </c>
      <c r="R118" s="283">
        <f t="shared" si="29"/>
        <v>0</v>
      </c>
      <c r="S118" s="283"/>
      <c r="T118" s="284"/>
      <c r="U118" s="284"/>
      <c r="V118" s="285"/>
      <c r="W118" s="284">
        <v>0.02</v>
      </c>
      <c r="X118" s="286">
        <v>0</v>
      </c>
      <c r="Y118" s="287">
        <f aca="true" t="shared" si="31" ref="Y118:Y123">R118*(W118/4)</f>
        <v>0</v>
      </c>
      <c r="Z118" s="250">
        <v>724.28</v>
      </c>
      <c r="AA118" s="250">
        <f t="shared" si="19"/>
        <v>0</v>
      </c>
      <c r="AB118" s="251">
        <f t="shared" si="20"/>
        <v>0</v>
      </c>
      <c r="AC118" s="288">
        <f t="shared" si="21"/>
        <v>0</v>
      </c>
      <c r="AD118" s="151" t="b">
        <f t="shared" si="22"/>
        <v>1</v>
      </c>
    </row>
    <row r="119" spans="1:30" s="151" customFormat="1" ht="11.25">
      <c r="A119" s="243" t="s">
        <v>261</v>
      </c>
      <c r="B119" s="244"/>
      <c r="C119" s="276" t="s">
        <v>262</v>
      </c>
      <c r="D119" s="276" t="s">
        <v>204</v>
      </c>
      <c r="E119" s="276" t="s">
        <v>205</v>
      </c>
      <c r="F119" s="276"/>
      <c r="G119" s="277" t="s">
        <v>206</v>
      </c>
      <c r="H119" s="276" t="s">
        <v>207</v>
      </c>
      <c r="I119" s="277" t="s">
        <v>208</v>
      </c>
      <c r="J119" s="276" t="s">
        <v>209</v>
      </c>
      <c r="K119" s="278">
        <v>60</v>
      </c>
      <c r="L119" s="279">
        <v>22.05</v>
      </c>
      <c r="M119" s="280"/>
      <c r="N119" s="280"/>
      <c r="O119" s="281">
        <v>60</v>
      </c>
      <c r="P119" s="282">
        <v>22.05</v>
      </c>
      <c r="Q119" s="246"/>
      <c r="R119" s="283">
        <v>0</v>
      </c>
      <c r="S119" s="283"/>
      <c r="T119" s="246"/>
      <c r="U119" s="246"/>
      <c r="V119" s="285"/>
      <c r="W119" s="246">
        <v>0.01</v>
      </c>
      <c r="X119" s="286">
        <f>ROUND(O119*W119,4)</f>
        <v>0.6</v>
      </c>
      <c r="Y119" s="287">
        <f t="shared" si="31"/>
        <v>0</v>
      </c>
      <c r="Z119" s="250">
        <v>724.28</v>
      </c>
      <c r="AA119" s="250">
        <f t="shared" si="19"/>
        <v>0</v>
      </c>
      <c r="AB119" s="251">
        <f t="shared" si="20"/>
        <v>0</v>
      </c>
      <c r="AC119" s="288">
        <f t="shared" si="21"/>
        <v>0</v>
      </c>
      <c r="AD119" s="151" t="b">
        <f t="shared" si="22"/>
        <v>1</v>
      </c>
    </row>
    <row r="120" spans="1:30" s="151" customFormat="1" ht="11.25">
      <c r="A120" s="243" t="s">
        <v>261</v>
      </c>
      <c r="B120" s="244"/>
      <c r="C120" s="276" t="s">
        <v>262</v>
      </c>
      <c r="D120" s="276" t="s">
        <v>204</v>
      </c>
      <c r="E120" s="276" t="s">
        <v>205</v>
      </c>
      <c r="F120" s="276"/>
      <c r="G120" s="277" t="s">
        <v>239</v>
      </c>
      <c r="H120" s="276" t="s">
        <v>240</v>
      </c>
      <c r="I120" s="277" t="s">
        <v>208</v>
      </c>
      <c r="J120" s="276" t="s">
        <v>209</v>
      </c>
      <c r="K120" s="278">
        <v>200</v>
      </c>
      <c r="L120" s="279">
        <v>162.2</v>
      </c>
      <c r="M120" s="278">
        <v>20</v>
      </c>
      <c r="N120" s="279">
        <v>16.2</v>
      </c>
      <c r="O120" s="281">
        <v>220</v>
      </c>
      <c r="P120" s="282">
        <v>178.4</v>
      </c>
      <c r="Q120" s="246"/>
      <c r="R120" s="283">
        <v>0</v>
      </c>
      <c r="S120" s="283"/>
      <c r="T120" s="246"/>
      <c r="U120" s="246"/>
      <c r="V120" s="285"/>
      <c r="W120" s="246">
        <v>0.02</v>
      </c>
      <c r="X120" s="286">
        <f>ROUND(O120*W120,4)</f>
        <v>4.4</v>
      </c>
      <c r="Y120" s="287">
        <f t="shared" si="31"/>
        <v>0</v>
      </c>
      <c r="Z120" s="250">
        <v>724.28</v>
      </c>
      <c r="AA120" s="250">
        <f t="shared" si="19"/>
        <v>0</v>
      </c>
      <c r="AB120" s="251">
        <f t="shared" si="20"/>
        <v>0</v>
      </c>
      <c r="AC120" s="288">
        <f t="shared" si="21"/>
        <v>0</v>
      </c>
      <c r="AD120" s="151" t="b">
        <f t="shared" si="22"/>
        <v>1</v>
      </c>
    </row>
    <row r="121" spans="1:30" s="151" customFormat="1" ht="11.25">
      <c r="A121" s="243" t="s">
        <v>261</v>
      </c>
      <c r="B121" s="244"/>
      <c r="C121" s="276" t="s">
        <v>262</v>
      </c>
      <c r="D121" s="276" t="s">
        <v>204</v>
      </c>
      <c r="E121" s="276" t="s">
        <v>205</v>
      </c>
      <c r="F121" s="276"/>
      <c r="G121" s="277" t="s">
        <v>210</v>
      </c>
      <c r="H121" s="276" t="s">
        <v>211</v>
      </c>
      <c r="I121" s="277" t="s">
        <v>208</v>
      </c>
      <c r="J121" s="276" t="s">
        <v>209</v>
      </c>
      <c r="K121" s="278">
        <v>30</v>
      </c>
      <c r="L121" s="279">
        <v>32.94</v>
      </c>
      <c r="M121" s="280"/>
      <c r="N121" s="280"/>
      <c r="O121" s="281">
        <v>30</v>
      </c>
      <c r="P121" s="282">
        <v>32.94</v>
      </c>
      <c r="Q121" s="246"/>
      <c r="R121" s="283">
        <v>0</v>
      </c>
      <c r="S121" s="283"/>
      <c r="T121" s="246"/>
      <c r="U121" s="246"/>
      <c r="V121" s="285"/>
      <c r="W121" s="246">
        <v>0.015</v>
      </c>
      <c r="X121" s="286">
        <f>ROUND(O121*W121,4)</f>
        <v>0.45</v>
      </c>
      <c r="Y121" s="287">
        <f t="shared" si="31"/>
        <v>0</v>
      </c>
      <c r="Z121" s="250">
        <v>724.28</v>
      </c>
      <c r="AA121" s="250">
        <f t="shared" si="19"/>
        <v>0</v>
      </c>
      <c r="AB121" s="251">
        <f t="shared" si="20"/>
        <v>0</v>
      </c>
      <c r="AC121" s="288">
        <f t="shared" si="21"/>
        <v>0</v>
      </c>
      <c r="AD121" s="151" t="b">
        <f t="shared" si="22"/>
        <v>1</v>
      </c>
    </row>
    <row r="122" spans="1:30" s="151" customFormat="1" ht="11.25">
      <c r="A122" s="243" t="s">
        <v>261</v>
      </c>
      <c r="B122" s="244"/>
      <c r="C122" s="276" t="s">
        <v>262</v>
      </c>
      <c r="D122" s="276" t="s">
        <v>204</v>
      </c>
      <c r="E122" s="276" t="s">
        <v>205</v>
      </c>
      <c r="F122" s="276"/>
      <c r="G122" s="277" t="s">
        <v>245</v>
      </c>
      <c r="H122" s="276" t="s">
        <v>246</v>
      </c>
      <c r="I122" s="277" t="s">
        <v>208</v>
      </c>
      <c r="J122" s="276" t="s">
        <v>209</v>
      </c>
      <c r="K122" s="278">
        <v>80</v>
      </c>
      <c r="L122" s="279">
        <v>168.4</v>
      </c>
      <c r="M122" s="278">
        <v>10</v>
      </c>
      <c r="N122" s="279">
        <v>21.08</v>
      </c>
      <c r="O122" s="281">
        <v>90</v>
      </c>
      <c r="P122" s="282">
        <v>189.48</v>
      </c>
      <c r="Q122" s="246"/>
      <c r="R122" s="283">
        <v>0</v>
      </c>
      <c r="S122" s="283"/>
      <c r="T122" s="246"/>
      <c r="U122" s="246"/>
      <c r="V122" s="285"/>
      <c r="W122" s="246">
        <v>0.03</v>
      </c>
      <c r="X122" s="286">
        <f>ROUND(O122*W122,4)</f>
        <v>2.7</v>
      </c>
      <c r="Y122" s="287">
        <f t="shared" si="31"/>
        <v>0</v>
      </c>
      <c r="Z122" s="250">
        <v>724.28</v>
      </c>
      <c r="AA122" s="250">
        <f t="shared" si="19"/>
        <v>0</v>
      </c>
      <c r="AB122" s="251">
        <f t="shared" si="20"/>
        <v>0</v>
      </c>
      <c r="AC122" s="288">
        <f t="shared" si="21"/>
        <v>0</v>
      </c>
      <c r="AD122" s="151" t="b">
        <f t="shared" si="22"/>
        <v>1</v>
      </c>
    </row>
    <row r="123" spans="1:30" ht="11.25">
      <c r="A123" s="243" t="s">
        <v>265</v>
      </c>
      <c r="B123" s="275">
        <v>101047805</v>
      </c>
      <c r="C123" s="276" t="s">
        <v>266</v>
      </c>
      <c r="D123" s="276" t="s">
        <v>150</v>
      </c>
      <c r="E123" s="276" t="s">
        <v>151</v>
      </c>
      <c r="F123" s="247" t="s">
        <v>175</v>
      </c>
      <c r="G123" s="277" t="s">
        <v>218</v>
      </c>
      <c r="H123" s="276" t="s">
        <v>219</v>
      </c>
      <c r="I123" s="277" t="s">
        <v>155</v>
      </c>
      <c r="J123" s="276" t="s">
        <v>156</v>
      </c>
      <c r="K123" s="278">
        <v>600</v>
      </c>
      <c r="L123" s="279">
        <v>163.32</v>
      </c>
      <c r="M123" s="280"/>
      <c r="N123" s="280"/>
      <c r="O123" s="281">
        <v>600</v>
      </c>
      <c r="P123" s="282">
        <v>163.32</v>
      </c>
      <c r="Q123" s="249">
        <v>100</v>
      </c>
      <c r="R123" s="283">
        <f aca="true" t="shared" si="32" ref="R123:R141">ROUND(O123*Q123/100,0)</f>
        <v>600</v>
      </c>
      <c r="S123" s="283">
        <f aca="true" t="shared" si="33" ref="S123:S132">ROUND(P123*Q123/100,2)</f>
        <v>163.32</v>
      </c>
      <c r="T123" s="284"/>
      <c r="U123" s="284"/>
      <c r="V123" s="285"/>
      <c r="W123" s="284">
        <v>0.02</v>
      </c>
      <c r="X123" s="286">
        <f>ROUND(O123*W123,4)</f>
        <v>12</v>
      </c>
      <c r="Y123" s="287">
        <f t="shared" si="31"/>
        <v>3</v>
      </c>
      <c r="Z123" s="250">
        <v>724.28</v>
      </c>
      <c r="AA123" s="250">
        <f t="shared" si="19"/>
        <v>2172.84</v>
      </c>
      <c r="AB123" s="251">
        <f t="shared" si="20"/>
        <v>1738.27</v>
      </c>
      <c r="AC123" s="288">
        <f t="shared" si="21"/>
        <v>434.57</v>
      </c>
      <c r="AD123" s="151" t="b">
        <f t="shared" si="22"/>
        <v>1</v>
      </c>
    </row>
    <row r="124" spans="1:30" ht="11.25">
      <c r="A124" s="243" t="s">
        <v>265</v>
      </c>
      <c r="B124" s="275">
        <v>101047806</v>
      </c>
      <c r="C124" s="276" t="s">
        <v>266</v>
      </c>
      <c r="D124" s="276" t="s">
        <v>150</v>
      </c>
      <c r="E124" s="276" t="s">
        <v>151</v>
      </c>
      <c r="F124" s="247" t="s">
        <v>172</v>
      </c>
      <c r="G124" s="277" t="s">
        <v>173</v>
      </c>
      <c r="H124" s="276" t="s">
        <v>174</v>
      </c>
      <c r="I124" s="277" t="s">
        <v>155</v>
      </c>
      <c r="J124" s="276" t="s">
        <v>156</v>
      </c>
      <c r="K124" s="278">
        <v>8622</v>
      </c>
      <c r="L124" s="279">
        <v>5552.63</v>
      </c>
      <c r="M124" s="278">
        <v>-680</v>
      </c>
      <c r="N124" s="279">
        <v>-446.99</v>
      </c>
      <c r="O124" s="281">
        <v>7942</v>
      </c>
      <c r="P124" s="282">
        <v>5105.64</v>
      </c>
      <c r="Q124" s="249">
        <v>100</v>
      </c>
      <c r="R124" s="283">
        <f t="shared" si="32"/>
        <v>7942</v>
      </c>
      <c r="S124" s="283">
        <f t="shared" si="33"/>
        <v>5105.64</v>
      </c>
      <c r="T124" s="284">
        <v>93</v>
      </c>
      <c r="U124" s="284">
        <f>ROUND(O124/T124,0)</f>
        <v>85</v>
      </c>
      <c r="V124" s="285">
        <f>ROUND(R124/T124,0)</f>
        <v>85</v>
      </c>
      <c r="W124" s="284">
        <v>1.5</v>
      </c>
      <c r="X124" s="286">
        <f>ROUND(U124*W124,4)</f>
        <v>127.5</v>
      </c>
      <c r="Y124" s="287">
        <f>V124*W124/4</f>
        <v>31.875</v>
      </c>
      <c r="Z124" s="250">
        <v>724.28</v>
      </c>
      <c r="AA124" s="250">
        <f t="shared" si="19"/>
        <v>23086.43</v>
      </c>
      <c r="AB124" s="251">
        <f t="shared" si="20"/>
        <v>18469.14</v>
      </c>
      <c r="AC124" s="288">
        <f t="shared" si="21"/>
        <v>4617.29</v>
      </c>
      <c r="AD124" s="151" t="b">
        <f t="shared" si="22"/>
        <v>1</v>
      </c>
    </row>
    <row r="125" spans="1:30" ht="11.25">
      <c r="A125" s="243" t="s">
        <v>265</v>
      </c>
      <c r="B125" s="275">
        <v>101047805</v>
      </c>
      <c r="C125" s="276" t="s">
        <v>266</v>
      </c>
      <c r="D125" s="276" t="s">
        <v>150</v>
      </c>
      <c r="E125" s="276" t="s">
        <v>151</v>
      </c>
      <c r="F125" s="247" t="s">
        <v>175</v>
      </c>
      <c r="G125" s="277" t="s">
        <v>182</v>
      </c>
      <c r="H125" s="276" t="s">
        <v>183</v>
      </c>
      <c r="I125" s="277" t="s">
        <v>155</v>
      </c>
      <c r="J125" s="276" t="s">
        <v>156</v>
      </c>
      <c r="K125" s="278">
        <v>7200</v>
      </c>
      <c r="L125" s="279">
        <v>5724.58</v>
      </c>
      <c r="M125" s="280"/>
      <c r="N125" s="280"/>
      <c r="O125" s="281">
        <v>7200</v>
      </c>
      <c r="P125" s="282">
        <v>5724.58</v>
      </c>
      <c r="Q125" s="249">
        <v>90</v>
      </c>
      <c r="R125" s="283">
        <f t="shared" si="32"/>
        <v>6480</v>
      </c>
      <c r="S125" s="283">
        <f t="shared" si="33"/>
        <v>5152.12</v>
      </c>
      <c r="T125" s="284"/>
      <c r="U125" s="284"/>
      <c r="V125" s="285"/>
      <c r="W125" s="284">
        <v>0.02</v>
      </c>
      <c r="X125" s="286">
        <f>ROUND(O125*W125,4)</f>
        <v>144</v>
      </c>
      <c r="Y125" s="287">
        <f>R125*(W125/4)</f>
        <v>32.4</v>
      </c>
      <c r="Z125" s="250">
        <v>724.28</v>
      </c>
      <c r="AA125" s="250">
        <f t="shared" si="19"/>
        <v>23466.67</v>
      </c>
      <c r="AB125" s="251">
        <f t="shared" si="20"/>
        <v>18773.34</v>
      </c>
      <c r="AC125" s="288">
        <f t="shared" si="21"/>
        <v>4693.33</v>
      </c>
      <c r="AD125" s="151" t="b">
        <f t="shared" si="22"/>
        <v>1</v>
      </c>
    </row>
    <row r="126" spans="1:30" ht="11.25">
      <c r="A126" s="243" t="s">
        <v>265</v>
      </c>
      <c r="B126" s="275">
        <v>101047805</v>
      </c>
      <c r="C126" s="276" t="s">
        <v>266</v>
      </c>
      <c r="D126" s="276" t="s">
        <v>150</v>
      </c>
      <c r="E126" s="276" t="s">
        <v>151</v>
      </c>
      <c r="F126" s="247" t="s">
        <v>175</v>
      </c>
      <c r="G126" s="277" t="s">
        <v>184</v>
      </c>
      <c r="H126" s="276" t="s">
        <v>185</v>
      </c>
      <c r="I126" s="277" t="s">
        <v>155</v>
      </c>
      <c r="J126" s="276" t="s">
        <v>156</v>
      </c>
      <c r="K126" s="278">
        <v>5490</v>
      </c>
      <c r="L126" s="279">
        <v>2853.12</v>
      </c>
      <c r="M126" s="278">
        <v>245</v>
      </c>
      <c r="N126" s="279">
        <v>125.67</v>
      </c>
      <c r="O126" s="281">
        <v>5735</v>
      </c>
      <c r="P126" s="282">
        <v>2978.79</v>
      </c>
      <c r="Q126" s="291">
        <v>90</v>
      </c>
      <c r="R126" s="283">
        <f t="shared" si="32"/>
        <v>5162</v>
      </c>
      <c r="S126" s="283">
        <f t="shared" si="33"/>
        <v>2680.91</v>
      </c>
      <c r="T126" s="284"/>
      <c r="U126" s="284"/>
      <c r="V126" s="285"/>
      <c r="W126" s="284">
        <v>0.02</v>
      </c>
      <c r="X126" s="286">
        <f>ROUND(O126*W126,4)</f>
        <v>114.7</v>
      </c>
      <c r="Y126" s="287">
        <f>R126*(W126/4)</f>
        <v>25.810000000000002</v>
      </c>
      <c r="Z126" s="250">
        <v>724.28</v>
      </c>
      <c r="AA126" s="250">
        <f t="shared" si="19"/>
        <v>18693.67</v>
      </c>
      <c r="AB126" s="251">
        <f t="shared" si="20"/>
        <v>14954.94</v>
      </c>
      <c r="AC126" s="288">
        <f t="shared" si="21"/>
        <v>3738.73</v>
      </c>
      <c r="AD126" s="151" t="b">
        <f t="shared" si="22"/>
        <v>1</v>
      </c>
    </row>
    <row r="127" spans="1:30" ht="11.25">
      <c r="A127" s="243" t="s">
        <v>265</v>
      </c>
      <c r="B127" s="275">
        <v>101047805</v>
      </c>
      <c r="C127" s="276" t="s">
        <v>266</v>
      </c>
      <c r="D127" s="276" t="s">
        <v>150</v>
      </c>
      <c r="E127" s="276" t="s">
        <v>151</v>
      </c>
      <c r="F127" s="247" t="s">
        <v>175</v>
      </c>
      <c r="G127" s="277" t="s">
        <v>176</v>
      </c>
      <c r="H127" s="276" t="s">
        <v>177</v>
      </c>
      <c r="I127" s="277" t="s">
        <v>155</v>
      </c>
      <c r="J127" s="276" t="s">
        <v>156</v>
      </c>
      <c r="K127" s="278">
        <v>3849</v>
      </c>
      <c r="L127" s="279">
        <v>1225.7</v>
      </c>
      <c r="M127" s="280"/>
      <c r="N127" s="280"/>
      <c r="O127" s="281">
        <v>3849</v>
      </c>
      <c r="P127" s="282">
        <v>1225.7</v>
      </c>
      <c r="Q127" s="249">
        <v>75</v>
      </c>
      <c r="R127" s="283">
        <f t="shared" si="32"/>
        <v>2887</v>
      </c>
      <c r="S127" s="283">
        <f t="shared" si="33"/>
        <v>919.28</v>
      </c>
      <c r="T127" s="284"/>
      <c r="U127" s="284"/>
      <c r="V127" s="285"/>
      <c r="W127" s="284">
        <v>0.05</v>
      </c>
      <c r="X127" s="286">
        <f>ROUND(O127*W127,4)</f>
        <v>192.45</v>
      </c>
      <c r="Y127" s="287">
        <f>R127*(W127/4)</f>
        <v>36.0875</v>
      </c>
      <c r="Z127" s="250">
        <v>724.28</v>
      </c>
      <c r="AA127" s="250">
        <f t="shared" si="19"/>
        <v>26137.45</v>
      </c>
      <c r="AB127" s="251">
        <f t="shared" si="20"/>
        <v>20909.96</v>
      </c>
      <c r="AC127" s="288">
        <f t="shared" si="21"/>
        <v>5227.49</v>
      </c>
      <c r="AD127" s="151" t="b">
        <f t="shared" si="22"/>
        <v>1</v>
      </c>
    </row>
    <row r="128" spans="1:30" ht="11.25">
      <c r="A128" s="243" t="s">
        <v>265</v>
      </c>
      <c r="B128" s="275">
        <v>101047805</v>
      </c>
      <c r="C128" s="276" t="s">
        <v>266</v>
      </c>
      <c r="D128" s="276" t="s">
        <v>150</v>
      </c>
      <c r="E128" s="276" t="s">
        <v>151</v>
      </c>
      <c r="F128" s="247" t="s">
        <v>175</v>
      </c>
      <c r="G128" s="277" t="s">
        <v>186</v>
      </c>
      <c r="H128" s="276" t="s">
        <v>187</v>
      </c>
      <c r="I128" s="277" t="s">
        <v>155</v>
      </c>
      <c r="J128" s="276" t="s">
        <v>156</v>
      </c>
      <c r="K128" s="278">
        <v>64365</v>
      </c>
      <c r="L128" s="279">
        <v>9130.22</v>
      </c>
      <c r="M128" s="278">
        <v>-2878</v>
      </c>
      <c r="N128" s="279">
        <v>-416.06</v>
      </c>
      <c r="O128" s="281">
        <v>61487</v>
      </c>
      <c r="P128" s="282">
        <v>8714.16</v>
      </c>
      <c r="Q128" s="249">
        <v>75</v>
      </c>
      <c r="R128" s="283">
        <f t="shared" si="32"/>
        <v>46115</v>
      </c>
      <c r="S128" s="283">
        <f t="shared" si="33"/>
        <v>6535.62</v>
      </c>
      <c r="T128" s="284"/>
      <c r="U128" s="284"/>
      <c r="V128" s="285"/>
      <c r="W128" s="284">
        <v>0.05</v>
      </c>
      <c r="X128" s="286">
        <f>ROUND(O128*W128,4)</f>
        <v>3074.35</v>
      </c>
      <c r="Y128" s="287">
        <f>R128*(W128/4)</f>
        <v>576.4375</v>
      </c>
      <c r="Z128" s="250">
        <v>724.28</v>
      </c>
      <c r="AA128" s="250">
        <f t="shared" si="19"/>
        <v>417502.15</v>
      </c>
      <c r="AB128" s="251">
        <f t="shared" si="20"/>
        <v>334001.72</v>
      </c>
      <c r="AC128" s="288">
        <f t="shared" si="21"/>
        <v>83500.43</v>
      </c>
      <c r="AD128" s="151" t="b">
        <f t="shared" si="22"/>
        <v>1</v>
      </c>
    </row>
    <row r="129" spans="1:30" ht="11.25">
      <c r="A129" s="243" t="s">
        <v>265</v>
      </c>
      <c r="B129" s="275">
        <v>101047805</v>
      </c>
      <c r="C129" s="276" t="s">
        <v>266</v>
      </c>
      <c r="D129" s="276" t="s">
        <v>150</v>
      </c>
      <c r="E129" s="276" t="s">
        <v>151</v>
      </c>
      <c r="F129" s="247" t="s">
        <v>152</v>
      </c>
      <c r="G129" s="277" t="s">
        <v>159</v>
      </c>
      <c r="H129" s="276" t="s">
        <v>160</v>
      </c>
      <c r="I129" s="277" t="s">
        <v>155</v>
      </c>
      <c r="J129" s="276" t="s">
        <v>156</v>
      </c>
      <c r="K129" s="278">
        <v>7229</v>
      </c>
      <c r="L129" s="279">
        <v>5344.4</v>
      </c>
      <c r="M129" s="278">
        <v>259</v>
      </c>
      <c r="N129" s="279">
        <v>214.3</v>
      </c>
      <c r="O129" s="281">
        <v>7488</v>
      </c>
      <c r="P129" s="282">
        <v>5558.7</v>
      </c>
      <c r="Q129" s="249">
        <v>75</v>
      </c>
      <c r="R129" s="283">
        <f t="shared" si="32"/>
        <v>5616</v>
      </c>
      <c r="S129" s="283">
        <f t="shared" si="33"/>
        <v>4169.03</v>
      </c>
      <c r="T129" s="284"/>
      <c r="U129" s="284"/>
      <c r="V129" s="285"/>
      <c r="W129" s="284">
        <v>0.05</v>
      </c>
      <c r="X129" s="286">
        <f>ROUND(O129*W129,4)</f>
        <v>374.4</v>
      </c>
      <c r="Y129" s="287">
        <f>R129*(W129/4)</f>
        <v>70.2</v>
      </c>
      <c r="Z129" s="250">
        <v>724.28</v>
      </c>
      <c r="AA129" s="250">
        <f t="shared" si="19"/>
        <v>50844.46</v>
      </c>
      <c r="AB129" s="251">
        <f t="shared" si="20"/>
        <v>40675.57</v>
      </c>
      <c r="AC129" s="288">
        <f t="shared" si="21"/>
        <v>10168.89</v>
      </c>
      <c r="AD129" s="151" t="b">
        <f t="shared" si="22"/>
        <v>1</v>
      </c>
    </row>
    <row r="130" spans="1:30" s="151" customFormat="1" ht="11.25">
      <c r="A130" s="243" t="s">
        <v>265</v>
      </c>
      <c r="B130" s="275">
        <v>101047806</v>
      </c>
      <c r="C130" s="276" t="s">
        <v>266</v>
      </c>
      <c r="D130" s="276" t="s">
        <v>150</v>
      </c>
      <c r="E130" s="276" t="s">
        <v>151</v>
      </c>
      <c r="F130" s="247" t="s">
        <v>172</v>
      </c>
      <c r="G130" s="277" t="s">
        <v>196</v>
      </c>
      <c r="H130" s="276" t="s">
        <v>197</v>
      </c>
      <c r="I130" s="277" t="s">
        <v>155</v>
      </c>
      <c r="J130" s="276" t="s">
        <v>156</v>
      </c>
      <c r="K130" s="278">
        <v>5448</v>
      </c>
      <c r="L130" s="279">
        <v>2330.66</v>
      </c>
      <c r="M130" s="280"/>
      <c r="N130" s="280"/>
      <c r="O130" s="281">
        <v>5448</v>
      </c>
      <c r="P130" s="282">
        <v>2330.66</v>
      </c>
      <c r="Q130" s="249">
        <v>60</v>
      </c>
      <c r="R130" s="283">
        <f t="shared" si="32"/>
        <v>3269</v>
      </c>
      <c r="S130" s="283">
        <f t="shared" si="33"/>
        <v>1398.4</v>
      </c>
      <c r="T130" s="284">
        <v>93</v>
      </c>
      <c r="U130" s="284">
        <f>ROUND(O130/T130,0)</f>
        <v>59</v>
      </c>
      <c r="V130" s="285">
        <f>ROUND(R130/T130,0)</f>
        <v>35</v>
      </c>
      <c r="W130" s="284">
        <v>1.5</v>
      </c>
      <c r="X130" s="286">
        <f>ROUND(U130*W130,4)</f>
        <v>88.5</v>
      </c>
      <c r="Y130" s="287">
        <f>V130*W130/4</f>
        <v>13.125</v>
      </c>
      <c r="Z130" s="250">
        <v>724.28</v>
      </c>
      <c r="AA130" s="250">
        <f aca="true" t="shared" si="34" ref="AA130:AA193">ROUND(Y130*Z130,2)</f>
        <v>9506.18</v>
      </c>
      <c r="AB130" s="251">
        <f aca="true" t="shared" si="35" ref="AB130:AB193">ROUND(AA130*0.8,2)</f>
        <v>7604.94</v>
      </c>
      <c r="AC130" s="288">
        <f aca="true" t="shared" si="36" ref="AC130:AC193">ROUND(AA130*0.2,2)</f>
        <v>1901.24</v>
      </c>
      <c r="AD130" s="151" t="b">
        <f aca="true" t="shared" si="37" ref="AD130:AD193">IF(AB130+AC130=AA130,TRUE,FALSE)</f>
        <v>1</v>
      </c>
    </row>
    <row r="131" spans="1:30" s="151" customFormat="1" ht="11.25">
      <c r="A131" s="243" t="s">
        <v>265</v>
      </c>
      <c r="B131" s="275">
        <v>101047806</v>
      </c>
      <c r="C131" s="276" t="s">
        <v>266</v>
      </c>
      <c r="D131" s="276" t="s">
        <v>150</v>
      </c>
      <c r="E131" s="276" t="s">
        <v>151</v>
      </c>
      <c r="F131" s="247" t="s">
        <v>172</v>
      </c>
      <c r="G131" s="277" t="s">
        <v>188</v>
      </c>
      <c r="H131" s="276" t="s">
        <v>189</v>
      </c>
      <c r="I131" s="277" t="s">
        <v>155</v>
      </c>
      <c r="J131" s="276" t="s">
        <v>156</v>
      </c>
      <c r="K131" s="278">
        <v>5500</v>
      </c>
      <c r="L131" s="279">
        <v>2393.18</v>
      </c>
      <c r="M131" s="292">
        <v>0</v>
      </c>
      <c r="N131" s="279">
        <v>-0.42</v>
      </c>
      <c r="O131" s="281">
        <v>5500</v>
      </c>
      <c r="P131" s="282">
        <v>2392.76</v>
      </c>
      <c r="Q131" s="249">
        <v>60</v>
      </c>
      <c r="R131" s="283">
        <f t="shared" si="32"/>
        <v>3300</v>
      </c>
      <c r="S131" s="283">
        <f t="shared" si="33"/>
        <v>1435.66</v>
      </c>
      <c r="T131" s="284">
        <v>93</v>
      </c>
      <c r="U131" s="284">
        <f>ROUND(O131/T131,0)</f>
        <v>59</v>
      </c>
      <c r="V131" s="285">
        <f>ROUND(R131/T131,0)</f>
        <v>35</v>
      </c>
      <c r="W131" s="284">
        <v>1.5</v>
      </c>
      <c r="X131" s="286">
        <f>ROUND(U131*W131,4)</f>
        <v>88.5</v>
      </c>
      <c r="Y131" s="287">
        <f>V131*W131/4</f>
        <v>13.125</v>
      </c>
      <c r="Z131" s="250">
        <v>724.28</v>
      </c>
      <c r="AA131" s="250">
        <f t="shared" si="34"/>
        <v>9506.18</v>
      </c>
      <c r="AB131" s="251">
        <f t="shared" si="35"/>
        <v>7604.94</v>
      </c>
      <c r="AC131" s="288">
        <f t="shared" si="36"/>
        <v>1901.24</v>
      </c>
      <c r="AD131" s="151" t="b">
        <f t="shared" si="37"/>
        <v>1</v>
      </c>
    </row>
    <row r="132" spans="1:30" s="151" customFormat="1" ht="11.25">
      <c r="A132" s="243" t="s">
        <v>265</v>
      </c>
      <c r="B132" s="275">
        <v>101047806</v>
      </c>
      <c r="C132" s="276" t="s">
        <v>266</v>
      </c>
      <c r="D132" s="276" t="s">
        <v>150</v>
      </c>
      <c r="E132" s="276" t="s">
        <v>151</v>
      </c>
      <c r="F132" s="247" t="s">
        <v>172</v>
      </c>
      <c r="G132" s="277" t="s">
        <v>178</v>
      </c>
      <c r="H132" s="276" t="s">
        <v>179</v>
      </c>
      <c r="I132" s="277" t="s">
        <v>155</v>
      </c>
      <c r="J132" s="276" t="s">
        <v>156</v>
      </c>
      <c r="K132" s="278">
        <v>1058</v>
      </c>
      <c r="L132" s="279">
        <v>1220.24</v>
      </c>
      <c r="M132" s="280"/>
      <c r="N132" s="280"/>
      <c r="O132" s="281">
        <v>1058</v>
      </c>
      <c r="P132" s="282">
        <v>1220.24</v>
      </c>
      <c r="Q132" s="249">
        <v>60</v>
      </c>
      <c r="R132" s="283">
        <f t="shared" si="32"/>
        <v>635</v>
      </c>
      <c r="S132" s="283">
        <f t="shared" si="33"/>
        <v>732.14</v>
      </c>
      <c r="T132" s="284">
        <v>93</v>
      </c>
      <c r="U132" s="284">
        <f>ROUND(O132/T132,0)</f>
        <v>11</v>
      </c>
      <c r="V132" s="285">
        <f>ROUND(R132/T132,0)</f>
        <v>7</v>
      </c>
      <c r="W132" s="284">
        <v>1.5</v>
      </c>
      <c r="X132" s="286">
        <f>ROUND(U132*W132,4)</f>
        <v>16.5</v>
      </c>
      <c r="Y132" s="287">
        <f>V132*W132/4</f>
        <v>2.625</v>
      </c>
      <c r="Z132" s="250">
        <v>724.28</v>
      </c>
      <c r="AA132" s="250">
        <f t="shared" si="34"/>
        <v>1901.24</v>
      </c>
      <c r="AB132" s="251">
        <f t="shared" si="35"/>
        <v>1520.99</v>
      </c>
      <c r="AC132" s="288">
        <f t="shared" si="36"/>
        <v>380.25</v>
      </c>
      <c r="AD132" s="151" t="b">
        <f t="shared" si="37"/>
        <v>1</v>
      </c>
    </row>
    <row r="133" spans="1:30" s="151" customFormat="1" ht="11.25">
      <c r="A133" s="243" t="s">
        <v>265</v>
      </c>
      <c r="B133" s="275"/>
      <c r="C133" s="276" t="s">
        <v>266</v>
      </c>
      <c r="D133" s="276" t="s">
        <v>150</v>
      </c>
      <c r="E133" s="276" t="s">
        <v>151</v>
      </c>
      <c r="F133" s="247" t="s">
        <v>175</v>
      </c>
      <c r="G133" s="277" t="s">
        <v>227</v>
      </c>
      <c r="H133" s="276" t="s">
        <v>228</v>
      </c>
      <c r="I133" s="277" t="s">
        <v>202</v>
      </c>
      <c r="J133" s="276" t="s">
        <v>203</v>
      </c>
      <c r="K133" s="280"/>
      <c r="L133" s="280"/>
      <c r="M133" s="278">
        <v>545</v>
      </c>
      <c r="N133" s="279">
        <v>960.98</v>
      </c>
      <c r="O133" s="281">
        <v>545</v>
      </c>
      <c r="P133" s="282">
        <v>960.98</v>
      </c>
      <c r="Q133" s="249">
        <v>0</v>
      </c>
      <c r="R133" s="283">
        <f t="shared" si="32"/>
        <v>0</v>
      </c>
      <c r="S133" s="283"/>
      <c r="T133" s="284"/>
      <c r="U133" s="284"/>
      <c r="V133" s="285"/>
      <c r="W133" s="284">
        <v>0.07</v>
      </c>
      <c r="X133" s="286">
        <f>ROUND(O133*W133,4)</f>
        <v>38.15</v>
      </c>
      <c r="Y133" s="287">
        <f>R133*(W133/4)</f>
        <v>0</v>
      </c>
      <c r="Z133" s="250">
        <v>724.28</v>
      </c>
      <c r="AA133" s="250">
        <f t="shared" si="34"/>
        <v>0</v>
      </c>
      <c r="AB133" s="251">
        <f t="shared" si="35"/>
        <v>0</v>
      </c>
      <c r="AC133" s="288">
        <f t="shared" si="36"/>
        <v>0</v>
      </c>
      <c r="AD133" s="151" t="b">
        <f t="shared" si="37"/>
        <v>1</v>
      </c>
    </row>
    <row r="134" spans="1:30" s="151" customFormat="1" ht="11.25">
      <c r="A134" s="243" t="s">
        <v>265</v>
      </c>
      <c r="B134" s="275"/>
      <c r="C134" s="276" t="s">
        <v>266</v>
      </c>
      <c r="D134" s="276" t="s">
        <v>150</v>
      </c>
      <c r="E134" s="276" t="s">
        <v>151</v>
      </c>
      <c r="F134" s="247" t="s">
        <v>152</v>
      </c>
      <c r="G134" s="277" t="s">
        <v>157</v>
      </c>
      <c r="H134" s="276" t="s">
        <v>158</v>
      </c>
      <c r="I134" s="277" t="s">
        <v>155</v>
      </c>
      <c r="J134" s="276" t="s">
        <v>156</v>
      </c>
      <c r="K134" s="292">
        <v>0</v>
      </c>
      <c r="L134" s="294">
        <v>0</v>
      </c>
      <c r="M134" s="280"/>
      <c r="N134" s="280"/>
      <c r="O134" s="293">
        <v>0</v>
      </c>
      <c r="P134" s="295">
        <v>0</v>
      </c>
      <c r="Q134" s="249">
        <v>0</v>
      </c>
      <c r="R134" s="283">
        <f t="shared" si="32"/>
        <v>0</v>
      </c>
      <c r="S134" s="283"/>
      <c r="T134" s="284"/>
      <c r="U134" s="284"/>
      <c r="V134" s="285"/>
      <c r="W134" s="284">
        <v>0.025</v>
      </c>
      <c r="X134" s="286">
        <f>ROUND(O134*W134,4)</f>
        <v>0</v>
      </c>
      <c r="Y134" s="287">
        <f>R134*(W134/4)</f>
        <v>0</v>
      </c>
      <c r="Z134" s="250">
        <v>724.28</v>
      </c>
      <c r="AA134" s="250">
        <f t="shared" si="34"/>
        <v>0</v>
      </c>
      <c r="AB134" s="251">
        <f t="shared" si="35"/>
        <v>0</v>
      </c>
      <c r="AC134" s="288">
        <f t="shared" si="36"/>
        <v>0</v>
      </c>
      <c r="AD134" s="151" t="b">
        <f t="shared" si="37"/>
        <v>1</v>
      </c>
    </row>
    <row r="135" spans="1:30" s="151" customFormat="1" ht="11.25">
      <c r="A135" s="243" t="s">
        <v>265</v>
      </c>
      <c r="B135" s="244"/>
      <c r="C135" s="276" t="s">
        <v>266</v>
      </c>
      <c r="D135" s="276" t="s">
        <v>150</v>
      </c>
      <c r="E135" s="276" t="s">
        <v>151</v>
      </c>
      <c r="F135" s="247" t="s">
        <v>190</v>
      </c>
      <c r="G135" s="277" t="s">
        <v>191</v>
      </c>
      <c r="H135" s="276" t="s">
        <v>192</v>
      </c>
      <c r="I135" s="277" t="s">
        <v>155</v>
      </c>
      <c r="J135" s="276" t="s">
        <v>156</v>
      </c>
      <c r="K135" s="278">
        <v>5981</v>
      </c>
      <c r="L135" s="279">
        <v>2988.4</v>
      </c>
      <c r="M135" s="278">
        <v>219</v>
      </c>
      <c r="N135" s="279">
        <v>104.37</v>
      </c>
      <c r="O135" s="281">
        <v>6200</v>
      </c>
      <c r="P135" s="282">
        <v>3092.77</v>
      </c>
      <c r="Q135" s="249">
        <v>0</v>
      </c>
      <c r="R135" s="283">
        <f t="shared" si="32"/>
        <v>0</v>
      </c>
      <c r="S135" s="283"/>
      <c r="T135" s="284"/>
      <c r="U135" s="284"/>
      <c r="V135" s="285"/>
      <c r="W135" s="284">
        <v>0.02</v>
      </c>
      <c r="X135" s="286">
        <f>ROUND(O135*W135,4)</f>
        <v>124</v>
      </c>
      <c r="Y135" s="287">
        <f>R135*(W135/4)</f>
        <v>0</v>
      </c>
      <c r="Z135" s="250">
        <v>724.28</v>
      </c>
      <c r="AA135" s="250">
        <f t="shared" si="34"/>
        <v>0</v>
      </c>
      <c r="AB135" s="251">
        <f t="shared" si="35"/>
        <v>0</v>
      </c>
      <c r="AC135" s="288">
        <f t="shared" si="36"/>
        <v>0</v>
      </c>
      <c r="AD135" s="151" t="b">
        <f t="shared" si="37"/>
        <v>1</v>
      </c>
    </row>
    <row r="136" spans="1:30" s="151" customFormat="1" ht="11.25">
      <c r="A136" s="243" t="s">
        <v>265</v>
      </c>
      <c r="B136" s="244"/>
      <c r="C136" s="276" t="s">
        <v>266</v>
      </c>
      <c r="D136" s="276" t="s">
        <v>150</v>
      </c>
      <c r="E136" s="276" t="s">
        <v>151</v>
      </c>
      <c r="F136" s="247" t="s">
        <v>193</v>
      </c>
      <c r="G136" s="277" t="s">
        <v>253</v>
      </c>
      <c r="H136" s="276" t="s">
        <v>254</v>
      </c>
      <c r="I136" s="277" t="s">
        <v>155</v>
      </c>
      <c r="J136" s="276" t="s">
        <v>156</v>
      </c>
      <c r="K136" s="280"/>
      <c r="L136" s="280"/>
      <c r="M136" s="278">
        <v>150</v>
      </c>
      <c r="N136" s="279">
        <v>243.91</v>
      </c>
      <c r="O136" s="281">
        <v>150</v>
      </c>
      <c r="P136" s="282">
        <v>243.91</v>
      </c>
      <c r="Q136" s="249">
        <v>0</v>
      </c>
      <c r="R136" s="283">
        <f t="shared" si="32"/>
        <v>0</v>
      </c>
      <c r="S136" s="283"/>
      <c r="T136" s="284"/>
      <c r="U136" s="284"/>
      <c r="V136" s="285"/>
      <c r="W136" s="284">
        <v>0.025</v>
      </c>
      <c r="X136" s="286">
        <f>ROUND(O136*W136,4)</f>
        <v>3.75</v>
      </c>
      <c r="Y136" s="287">
        <f>R136*(W136/4)</f>
        <v>0</v>
      </c>
      <c r="Z136" s="250">
        <v>724.28</v>
      </c>
      <c r="AA136" s="250">
        <f t="shared" si="34"/>
        <v>0</v>
      </c>
      <c r="AB136" s="251">
        <f t="shared" si="35"/>
        <v>0</v>
      </c>
      <c r="AC136" s="288">
        <f t="shared" si="36"/>
        <v>0</v>
      </c>
      <c r="AD136" s="151" t="b">
        <f t="shared" si="37"/>
        <v>1</v>
      </c>
    </row>
    <row r="137" spans="1:30" s="151" customFormat="1" ht="11.25">
      <c r="A137" s="243" t="s">
        <v>265</v>
      </c>
      <c r="B137" s="275"/>
      <c r="C137" s="276" t="s">
        <v>266</v>
      </c>
      <c r="D137" s="276" t="s">
        <v>150</v>
      </c>
      <c r="E137" s="276" t="s">
        <v>151</v>
      </c>
      <c r="F137" s="247" t="s">
        <v>172</v>
      </c>
      <c r="G137" s="277" t="s">
        <v>214</v>
      </c>
      <c r="H137" s="276" t="s">
        <v>215</v>
      </c>
      <c r="I137" s="277" t="s">
        <v>155</v>
      </c>
      <c r="J137" s="276" t="s">
        <v>156</v>
      </c>
      <c r="K137" s="278">
        <v>265</v>
      </c>
      <c r="L137" s="279">
        <v>151.68</v>
      </c>
      <c r="M137" s="280"/>
      <c r="N137" s="280"/>
      <c r="O137" s="281">
        <v>265</v>
      </c>
      <c r="P137" s="282">
        <v>151.68</v>
      </c>
      <c r="Q137" s="249">
        <v>0</v>
      </c>
      <c r="R137" s="283">
        <f t="shared" si="32"/>
        <v>0</v>
      </c>
      <c r="S137" s="283"/>
      <c r="T137" s="284">
        <v>93</v>
      </c>
      <c r="U137" s="284">
        <f>ROUND(O137/T137,0)</f>
        <v>3</v>
      </c>
      <c r="V137" s="285">
        <f>ROUND(R137/T137,0)</f>
        <v>0</v>
      </c>
      <c r="W137" s="284">
        <v>1.5</v>
      </c>
      <c r="X137" s="286">
        <f>ROUND(ROUND(O137/T137,0)*W137,4)</f>
        <v>4.5</v>
      </c>
      <c r="Y137" s="287">
        <f>V137*W137/4</f>
        <v>0</v>
      </c>
      <c r="Z137" s="250">
        <v>724.28</v>
      </c>
      <c r="AA137" s="250">
        <f t="shared" si="34"/>
        <v>0</v>
      </c>
      <c r="AB137" s="251">
        <f t="shared" si="35"/>
        <v>0</v>
      </c>
      <c r="AC137" s="288">
        <f t="shared" si="36"/>
        <v>0</v>
      </c>
      <c r="AD137" s="151" t="b">
        <f t="shared" si="37"/>
        <v>1</v>
      </c>
    </row>
    <row r="138" spans="1:30" s="151" customFormat="1" ht="11.25">
      <c r="A138" s="243" t="s">
        <v>265</v>
      </c>
      <c r="B138" s="275"/>
      <c r="C138" s="276" t="s">
        <v>266</v>
      </c>
      <c r="D138" s="276" t="s">
        <v>150</v>
      </c>
      <c r="E138" s="276" t="s">
        <v>151</v>
      </c>
      <c r="F138" s="247" t="s">
        <v>172</v>
      </c>
      <c r="G138" s="277" t="s">
        <v>198</v>
      </c>
      <c r="H138" s="276" t="s">
        <v>199</v>
      </c>
      <c r="I138" s="277" t="s">
        <v>155</v>
      </c>
      <c r="J138" s="276" t="s">
        <v>156</v>
      </c>
      <c r="K138" s="278">
        <v>390</v>
      </c>
      <c r="L138" s="279">
        <v>389.89</v>
      </c>
      <c r="M138" s="278">
        <v>-40</v>
      </c>
      <c r="N138" s="279">
        <v>-39.99</v>
      </c>
      <c r="O138" s="281">
        <v>350</v>
      </c>
      <c r="P138" s="282">
        <v>349.9</v>
      </c>
      <c r="Q138" s="249">
        <v>0</v>
      </c>
      <c r="R138" s="283">
        <f t="shared" si="32"/>
        <v>0</v>
      </c>
      <c r="S138" s="283"/>
      <c r="T138" s="284">
        <v>93</v>
      </c>
      <c r="U138" s="284">
        <f>ROUND(O138/T138,0)</f>
        <v>4</v>
      </c>
      <c r="V138" s="285">
        <f>ROUND(R138/T138,0)</f>
        <v>0</v>
      </c>
      <c r="W138" s="284">
        <v>1.5</v>
      </c>
      <c r="X138" s="286">
        <f>ROUND(ROUND(O138/T138,0)*W138,4)</f>
        <v>6</v>
      </c>
      <c r="Y138" s="287">
        <f>V138*W138/4</f>
        <v>0</v>
      </c>
      <c r="Z138" s="250">
        <v>724.28</v>
      </c>
      <c r="AA138" s="250">
        <f t="shared" si="34"/>
        <v>0</v>
      </c>
      <c r="AB138" s="251">
        <f t="shared" si="35"/>
        <v>0</v>
      </c>
      <c r="AC138" s="288">
        <f t="shared" si="36"/>
        <v>0</v>
      </c>
      <c r="AD138" s="151" t="b">
        <f t="shared" si="37"/>
        <v>1</v>
      </c>
    </row>
    <row r="139" spans="1:30" s="151" customFormat="1" ht="11.25">
      <c r="A139" s="243" t="s">
        <v>265</v>
      </c>
      <c r="B139" s="275"/>
      <c r="C139" s="276" t="s">
        <v>266</v>
      </c>
      <c r="D139" s="276" t="s">
        <v>150</v>
      </c>
      <c r="E139" s="276" t="s">
        <v>151</v>
      </c>
      <c r="F139" s="247" t="s">
        <v>172</v>
      </c>
      <c r="G139" s="277" t="s">
        <v>255</v>
      </c>
      <c r="H139" s="276" t="s">
        <v>256</v>
      </c>
      <c r="I139" s="277" t="s">
        <v>155</v>
      </c>
      <c r="J139" s="276" t="s">
        <v>156</v>
      </c>
      <c r="K139" s="278">
        <v>250</v>
      </c>
      <c r="L139" s="279">
        <v>398.45</v>
      </c>
      <c r="M139" s="280"/>
      <c r="N139" s="280"/>
      <c r="O139" s="281">
        <v>250</v>
      </c>
      <c r="P139" s="282">
        <v>398.45</v>
      </c>
      <c r="Q139" s="249">
        <v>0</v>
      </c>
      <c r="R139" s="283">
        <f t="shared" si="32"/>
        <v>0</v>
      </c>
      <c r="S139" s="283"/>
      <c r="T139" s="284">
        <v>93</v>
      </c>
      <c r="U139" s="284">
        <f>ROUND(O139/T139,0)</f>
        <v>3</v>
      </c>
      <c r="V139" s="285">
        <f>ROUND(R139/T139,0)</f>
        <v>0</v>
      </c>
      <c r="W139" s="284">
        <v>1.5</v>
      </c>
      <c r="X139" s="286">
        <f>ROUND(ROUND(O139/T139,0)*W139,4)</f>
        <v>4.5</v>
      </c>
      <c r="Y139" s="287">
        <f>V139*W139/4</f>
        <v>0</v>
      </c>
      <c r="Z139" s="250">
        <v>724.28</v>
      </c>
      <c r="AA139" s="250">
        <f t="shared" si="34"/>
        <v>0</v>
      </c>
      <c r="AB139" s="251">
        <f t="shared" si="35"/>
        <v>0</v>
      </c>
      <c r="AC139" s="288">
        <f t="shared" si="36"/>
        <v>0</v>
      </c>
      <c r="AD139" s="151" t="b">
        <f t="shared" si="37"/>
        <v>1</v>
      </c>
    </row>
    <row r="140" spans="1:30" s="151" customFormat="1" ht="11.25">
      <c r="A140" s="243" t="s">
        <v>265</v>
      </c>
      <c r="B140" s="275"/>
      <c r="C140" s="276" t="s">
        <v>266</v>
      </c>
      <c r="D140" s="276" t="s">
        <v>150</v>
      </c>
      <c r="E140" s="276" t="s">
        <v>151</v>
      </c>
      <c r="F140" s="247" t="s">
        <v>172</v>
      </c>
      <c r="G140" s="277" t="s">
        <v>267</v>
      </c>
      <c r="H140" s="276" t="s">
        <v>268</v>
      </c>
      <c r="I140" s="277" t="s">
        <v>202</v>
      </c>
      <c r="J140" s="276" t="s">
        <v>203</v>
      </c>
      <c r="K140" s="278">
        <v>66</v>
      </c>
      <c r="L140" s="279">
        <v>124.2</v>
      </c>
      <c r="M140" s="280"/>
      <c r="N140" s="280"/>
      <c r="O140" s="281">
        <v>66</v>
      </c>
      <c r="P140" s="282">
        <v>124.2</v>
      </c>
      <c r="Q140" s="249">
        <v>0</v>
      </c>
      <c r="R140" s="283">
        <f t="shared" si="32"/>
        <v>0</v>
      </c>
      <c r="S140" s="283"/>
      <c r="T140" s="284">
        <v>93</v>
      </c>
      <c r="U140" s="284">
        <f>ROUND(O140/T140,0)</f>
        <v>1</v>
      </c>
      <c r="V140" s="285">
        <f>ROUND(R140/T140,0)</f>
        <v>0</v>
      </c>
      <c r="W140" s="284">
        <v>1.5</v>
      </c>
      <c r="X140" s="286">
        <f>ROUND(ROUND(O140/T140,0)*W140,4)</f>
        <v>1.5</v>
      </c>
      <c r="Y140" s="287">
        <f>V140*W140/4</f>
        <v>0</v>
      </c>
      <c r="Z140" s="250">
        <v>724.28</v>
      </c>
      <c r="AA140" s="250">
        <f t="shared" si="34"/>
        <v>0</v>
      </c>
      <c r="AB140" s="251">
        <f t="shared" si="35"/>
        <v>0</v>
      </c>
      <c r="AC140" s="288">
        <f t="shared" si="36"/>
        <v>0</v>
      </c>
      <c r="AD140" s="151" t="b">
        <f t="shared" si="37"/>
        <v>1</v>
      </c>
    </row>
    <row r="141" spans="1:30" s="151" customFormat="1" ht="11.25">
      <c r="A141" s="243" t="s">
        <v>265</v>
      </c>
      <c r="B141" s="275"/>
      <c r="C141" s="276" t="s">
        <v>266</v>
      </c>
      <c r="D141" s="276" t="s">
        <v>150</v>
      </c>
      <c r="E141" s="276" t="s">
        <v>151</v>
      </c>
      <c r="F141" s="247" t="s">
        <v>172</v>
      </c>
      <c r="G141" s="277" t="s">
        <v>259</v>
      </c>
      <c r="H141" s="276" t="s">
        <v>260</v>
      </c>
      <c r="I141" s="277" t="s">
        <v>202</v>
      </c>
      <c r="J141" s="276" t="s">
        <v>203</v>
      </c>
      <c r="K141" s="278">
        <v>10</v>
      </c>
      <c r="L141" s="279">
        <v>31.51</v>
      </c>
      <c r="M141" s="278">
        <v>26</v>
      </c>
      <c r="N141" s="279">
        <v>82.08</v>
      </c>
      <c r="O141" s="281">
        <v>36</v>
      </c>
      <c r="P141" s="282">
        <v>113.59</v>
      </c>
      <c r="Q141" s="249">
        <v>0</v>
      </c>
      <c r="R141" s="283">
        <f t="shared" si="32"/>
        <v>0</v>
      </c>
      <c r="S141" s="283"/>
      <c r="T141" s="284">
        <v>93</v>
      </c>
      <c r="U141" s="284">
        <f>ROUND(O141/T141,0)</f>
        <v>0</v>
      </c>
      <c r="V141" s="285">
        <f>ROUND(R141/T141,0)</f>
        <v>0</v>
      </c>
      <c r="W141" s="284">
        <v>1.5</v>
      </c>
      <c r="X141" s="286">
        <f>ROUND(ROUND(O141/T141,0)*W141,4)</f>
        <v>0</v>
      </c>
      <c r="Y141" s="287">
        <f>V141*W141/4</f>
        <v>0</v>
      </c>
      <c r="Z141" s="250">
        <v>724.28</v>
      </c>
      <c r="AA141" s="250">
        <f t="shared" si="34"/>
        <v>0</v>
      </c>
      <c r="AB141" s="251">
        <f t="shared" si="35"/>
        <v>0</v>
      </c>
      <c r="AC141" s="288">
        <f t="shared" si="36"/>
        <v>0</v>
      </c>
      <c r="AD141" s="151" t="b">
        <f t="shared" si="37"/>
        <v>1</v>
      </c>
    </row>
    <row r="142" spans="1:30" s="151" customFormat="1" ht="11.25">
      <c r="A142" s="243" t="s">
        <v>265</v>
      </c>
      <c r="B142" s="244"/>
      <c r="C142" s="276" t="s">
        <v>266</v>
      </c>
      <c r="D142" s="276" t="s">
        <v>204</v>
      </c>
      <c r="E142" s="276" t="s">
        <v>205</v>
      </c>
      <c r="F142" s="276"/>
      <c r="G142" s="277" t="s">
        <v>206</v>
      </c>
      <c r="H142" s="276" t="s">
        <v>207</v>
      </c>
      <c r="I142" s="277" t="s">
        <v>208</v>
      </c>
      <c r="J142" s="276" t="s">
        <v>209</v>
      </c>
      <c r="K142" s="278">
        <v>200</v>
      </c>
      <c r="L142" s="279">
        <v>73.48</v>
      </c>
      <c r="M142" s="280"/>
      <c r="N142" s="280"/>
      <c r="O142" s="281">
        <v>200</v>
      </c>
      <c r="P142" s="282">
        <v>73.48</v>
      </c>
      <c r="Q142" s="246"/>
      <c r="R142" s="283">
        <v>0</v>
      </c>
      <c r="S142" s="283"/>
      <c r="T142" s="246"/>
      <c r="U142" s="246"/>
      <c r="V142" s="285"/>
      <c r="W142" s="246">
        <v>0.01</v>
      </c>
      <c r="X142" s="286">
        <f aca="true" t="shared" si="38" ref="X142:X149">ROUND(O142*W142,4)</f>
        <v>2</v>
      </c>
      <c r="Y142" s="287">
        <f aca="true" t="shared" si="39" ref="Y142:Y149">R142*(W142/4)</f>
        <v>0</v>
      </c>
      <c r="Z142" s="250">
        <v>724.28</v>
      </c>
      <c r="AA142" s="250">
        <f t="shared" si="34"/>
        <v>0</v>
      </c>
      <c r="AB142" s="251">
        <f t="shared" si="35"/>
        <v>0</v>
      </c>
      <c r="AC142" s="288">
        <f t="shared" si="36"/>
        <v>0</v>
      </c>
      <c r="AD142" s="151" t="b">
        <f t="shared" si="37"/>
        <v>1</v>
      </c>
    </row>
    <row r="143" spans="1:30" s="151" customFormat="1" ht="11.25">
      <c r="A143" s="243" t="s">
        <v>265</v>
      </c>
      <c r="B143" s="244"/>
      <c r="C143" s="276" t="s">
        <v>266</v>
      </c>
      <c r="D143" s="276" t="s">
        <v>204</v>
      </c>
      <c r="E143" s="276" t="s">
        <v>205</v>
      </c>
      <c r="F143" s="276"/>
      <c r="G143" s="277" t="s">
        <v>239</v>
      </c>
      <c r="H143" s="276" t="s">
        <v>240</v>
      </c>
      <c r="I143" s="277" t="s">
        <v>208</v>
      </c>
      <c r="J143" s="276" t="s">
        <v>209</v>
      </c>
      <c r="K143" s="278">
        <v>800</v>
      </c>
      <c r="L143" s="279">
        <v>648.86</v>
      </c>
      <c r="M143" s="280"/>
      <c r="N143" s="280"/>
      <c r="O143" s="281">
        <v>800</v>
      </c>
      <c r="P143" s="282">
        <v>648.86</v>
      </c>
      <c r="Q143" s="246"/>
      <c r="R143" s="283">
        <v>0</v>
      </c>
      <c r="S143" s="283"/>
      <c r="T143" s="246"/>
      <c r="U143" s="246"/>
      <c r="V143" s="285"/>
      <c r="W143" s="246">
        <v>0.02</v>
      </c>
      <c r="X143" s="286">
        <f t="shared" si="38"/>
        <v>16</v>
      </c>
      <c r="Y143" s="287">
        <f t="shared" si="39"/>
        <v>0</v>
      </c>
      <c r="Z143" s="250">
        <v>724.28</v>
      </c>
      <c r="AA143" s="250">
        <f t="shared" si="34"/>
        <v>0</v>
      </c>
      <c r="AB143" s="251">
        <f t="shared" si="35"/>
        <v>0</v>
      </c>
      <c r="AC143" s="288">
        <f t="shared" si="36"/>
        <v>0</v>
      </c>
      <c r="AD143" s="151" t="b">
        <f t="shared" si="37"/>
        <v>1</v>
      </c>
    </row>
    <row r="144" spans="1:30" s="151" customFormat="1" ht="11.25">
      <c r="A144" s="243" t="s">
        <v>265</v>
      </c>
      <c r="B144" s="244"/>
      <c r="C144" s="276" t="s">
        <v>266</v>
      </c>
      <c r="D144" s="276" t="s">
        <v>204</v>
      </c>
      <c r="E144" s="276" t="s">
        <v>205</v>
      </c>
      <c r="F144" s="276"/>
      <c r="G144" s="277" t="s">
        <v>243</v>
      </c>
      <c r="H144" s="276" t="s">
        <v>244</v>
      </c>
      <c r="I144" s="277" t="s">
        <v>208</v>
      </c>
      <c r="J144" s="276" t="s">
        <v>209</v>
      </c>
      <c r="K144" s="278">
        <v>100</v>
      </c>
      <c r="L144" s="279">
        <v>270.46</v>
      </c>
      <c r="M144" s="280"/>
      <c r="N144" s="280"/>
      <c r="O144" s="281">
        <v>100</v>
      </c>
      <c r="P144" s="282">
        <v>270.46</v>
      </c>
      <c r="Q144" s="246"/>
      <c r="R144" s="283">
        <v>0</v>
      </c>
      <c r="S144" s="283"/>
      <c r="T144" s="246"/>
      <c r="U144" s="246"/>
      <c r="V144" s="285"/>
      <c r="W144" s="246">
        <v>0.025</v>
      </c>
      <c r="X144" s="286">
        <f t="shared" si="38"/>
        <v>2.5</v>
      </c>
      <c r="Y144" s="287">
        <f t="shared" si="39"/>
        <v>0</v>
      </c>
      <c r="Z144" s="250">
        <v>724.28</v>
      </c>
      <c r="AA144" s="250">
        <f t="shared" si="34"/>
        <v>0</v>
      </c>
      <c r="AB144" s="251">
        <f t="shared" si="35"/>
        <v>0</v>
      </c>
      <c r="AC144" s="288">
        <f t="shared" si="36"/>
        <v>0</v>
      </c>
      <c r="AD144" s="151" t="b">
        <f t="shared" si="37"/>
        <v>1</v>
      </c>
    </row>
    <row r="145" spans="1:30" s="151" customFormat="1" ht="11.25">
      <c r="A145" s="243" t="s">
        <v>265</v>
      </c>
      <c r="B145" s="244"/>
      <c r="C145" s="276" t="s">
        <v>266</v>
      </c>
      <c r="D145" s="276" t="s">
        <v>204</v>
      </c>
      <c r="E145" s="276" t="s">
        <v>205</v>
      </c>
      <c r="F145" s="276"/>
      <c r="G145" s="277" t="s">
        <v>210</v>
      </c>
      <c r="H145" s="276" t="s">
        <v>211</v>
      </c>
      <c r="I145" s="277" t="s">
        <v>208</v>
      </c>
      <c r="J145" s="276" t="s">
        <v>209</v>
      </c>
      <c r="K145" s="278">
        <v>100</v>
      </c>
      <c r="L145" s="279">
        <v>109.84</v>
      </c>
      <c r="M145" s="280"/>
      <c r="N145" s="280"/>
      <c r="O145" s="281">
        <v>100</v>
      </c>
      <c r="P145" s="282">
        <v>109.84</v>
      </c>
      <c r="Q145" s="246"/>
      <c r="R145" s="283">
        <v>0</v>
      </c>
      <c r="S145" s="283"/>
      <c r="T145" s="246"/>
      <c r="U145" s="246"/>
      <c r="V145" s="285"/>
      <c r="W145" s="246">
        <v>0.015</v>
      </c>
      <c r="X145" s="286">
        <f t="shared" si="38"/>
        <v>1.5</v>
      </c>
      <c r="Y145" s="287">
        <f t="shared" si="39"/>
        <v>0</v>
      </c>
      <c r="Z145" s="250">
        <v>724.28</v>
      </c>
      <c r="AA145" s="250">
        <f t="shared" si="34"/>
        <v>0</v>
      </c>
      <c r="AB145" s="251">
        <f t="shared" si="35"/>
        <v>0</v>
      </c>
      <c r="AC145" s="288">
        <f t="shared" si="36"/>
        <v>0</v>
      </c>
      <c r="AD145" s="151" t="b">
        <f t="shared" si="37"/>
        <v>1</v>
      </c>
    </row>
    <row r="146" spans="1:30" s="151" customFormat="1" ht="11.25">
      <c r="A146" s="243" t="s">
        <v>265</v>
      </c>
      <c r="B146" s="244"/>
      <c r="C146" s="276" t="s">
        <v>266</v>
      </c>
      <c r="D146" s="276" t="s">
        <v>204</v>
      </c>
      <c r="E146" s="276" t="s">
        <v>205</v>
      </c>
      <c r="F146" s="276"/>
      <c r="G146" s="277" t="s">
        <v>245</v>
      </c>
      <c r="H146" s="276" t="s">
        <v>246</v>
      </c>
      <c r="I146" s="277" t="s">
        <v>208</v>
      </c>
      <c r="J146" s="276" t="s">
        <v>209</v>
      </c>
      <c r="K146" s="278">
        <v>200</v>
      </c>
      <c r="L146" s="279">
        <v>421.02</v>
      </c>
      <c r="M146" s="280"/>
      <c r="N146" s="280"/>
      <c r="O146" s="281">
        <v>200</v>
      </c>
      <c r="P146" s="282">
        <v>421.02</v>
      </c>
      <c r="Q146" s="246"/>
      <c r="R146" s="283">
        <v>0</v>
      </c>
      <c r="S146" s="283"/>
      <c r="T146" s="246"/>
      <c r="U146" s="246"/>
      <c r="V146" s="285"/>
      <c r="W146" s="246">
        <v>0.03</v>
      </c>
      <c r="X146" s="286">
        <f t="shared" si="38"/>
        <v>6</v>
      </c>
      <c r="Y146" s="287">
        <f t="shared" si="39"/>
        <v>0</v>
      </c>
      <c r="Z146" s="250">
        <v>724.28</v>
      </c>
      <c r="AA146" s="250">
        <f t="shared" si="34"/>
        <v>0</v>
      </c>
      <c r="AB146" s="251">
        <f t="shared" si="35"/>
        <v>0</v>
      </c>
      <c r="AC146" s="288">
        <f t="shared" si="36"/>
        <v>0</v>
      </c>
      <c r="AD146" s="151" t="b">
        <f t="shared" si="37"/>
        <v>1</v>
      </c>
    </row>
    <row r="147" spans="1:30" s="151" customFormat="1" ht="11.25">
      <c r="A147" s="243" t="s">
        <v>265</v>
      </c>
      <c r="B147" s="244"/>
      <c r="C147" s="276" t="s">
        <v>266</v>
      </c>
      <c r="D147" s="276" t="s">
        <v>204</v>
      </c>
      <c r="E147" s="276" t="s">
        <v>205</v>
      </c>
      <c r="F147" s="276"/>
      <c r="G147" s="277" t="s">
        <v>247</v>
      </c>
      <c r="H147" s="276" t="s">
        <v>248</v>
      </c>
      <c r="I147" s="277" t="s">
        <v>208</v>
      </c>
      <c r="J147" s="276" t="s">
        <v>209</v>
      </c>
      <c r="K147" s="278">
        <v>180</v>
      </c>
      <c r="L147" s="279">
        <v>545.37</v>
      </c>
      <c r="M147" s="278">
        <v>-50</v>
      </c>
      <c r="N147" s="279">
        <v>-151.65</v>
      </c>
      <c r="O147" s="281">
        <v>130</v>
      </c>
      <c r="P147" s="282">
        <v>393.72</v>
      </c>
      <c r="Q147" s="246"/>
      <c r="R147" s="283">
        <v>0</v>
      </c>
      <c r="S147" s="283"/>
      <c r="T147" s="246"/>
      <c r="U147" s="246"/>
      <c r="V147" s="285"/>
      <c r="W147" s="246">
        <v>0.03</v>
      </c>
      <c r="X147" s="286">
        <f t="shared" si="38"/>
        <v>3.9</v>
      </c>
      <c r="Y147" s="287">
        <f t="shared" si="39"/>
        <v>0</v>
      </c>
      <c r="Z147" s="250">
        <v>724.28</v>
      </c>
      <c r="AA147" s="250">
        <f t="shared" si="34"/>
        <v>0</v>
      </c>
      <c r="AB147" s="251">
        <f t="shared" si="35"/>
        <v>0</v>
      </c>
      <c r="AC147" s="288">
        <f t="shared" si="36"/>
        <v>0</v>
      </c>
      <c r="AD147" s="151" t="b">
        <f t="shared" si="37"/>
        <v>1</v>
      </c>
    </row>
    <row r="148" spans="1:30" s="151" customFormat="1" ht="11.25">
      <c r="A148" s="243" t="s">
        <v>265</v>
      </c>
      <c r="B148" s="244"/>
      <c r="C148" s="276" t="s">
        <v>266</v>
      </c>
      <c r="D148" s="276" t="s">
        <v>204</v>
      </c>
      <c r="E148" s="276" t="s">
        <v>205</v>
      </c>
      <c r="F148" s="276"/>
      <c r="G148" s="277" t="s">
        <v>249</v>
      </c>
      <c r="H148" s="276" t="s">
        <v>250</v>
      </c>
      <c r="I148" s="277" t="s">
        <v>208</v>
      </c>
      <c r="J148" s="276" t="s">
        <v>209</v>
      </c>
      <c r="K148" s="278">
        <v>40</v>
      </c>
      <c r="L148" s="279">
        <v>223.38</v>
      </c>
      <c r="M148" s="280"/>
      <c r="N148" s="280"/>
      <c r="O148" s="281">
        <v>40</v>
      </c>
      <c r="P148" s="282">
        <v>223.38</v>
      </c>
      <c r="Q148" s="246"/>
      <c r="R148" s="283">
        <v>0</v>
      </c>
      <c r="S148" s="283"/>
      <c r="T148" s="246"/>
      <c r="U148" s="246"/>
      <c r="V148" s="285"/>
      <c r="W148" s="246">
        <v>0.04</v>
      </c>
      <c r="X148" s="286">
        <f t="shared" si="38"/>
        <v>1.6</v>
      </c>
      <c r="Y148" s="287">
        <f t="shared" si="39"/>
        <v>0</v>
      </c>
      <c r="Z148" s="250">
        <v>724.28</v>
      </c>
      <c r="AA148" s="250">
        <f t="shared" si="34"/>
        <v>0</v>
      </c>
      <c r="AB148" s="251">
        <f t="shared" si="35"/>
        <v>0</v>
      </c>
      <c r="AC148" s="288">
        <f t="shared" si="36"/>
        <v>0</v>
      </c>
      <c r="AD148" s="151" t="b">
        <f t="shared" si="37"/>
        <v>1</v>
      </c>
    </row>
    <row r="149" spans="1:30" ht="11.25">
      <c r="A149" s="243" t="s">
        <v>269</v>
      </c>
      <c r="B149" s="275">
        <v>101047807</v>
      </c>
      <c r="C149" s="276" t="s">
        <v>270</v>
      </c>
      <c r="D149" s="276" t="s">
        <v>150</v>
      </c>
      <c r="E149" s="276" t="s">
        <v>151</v>
      </c>
      <c r="F149" s="247" t="s">
        <v>175</v>
      </c>
      <c r="G149" s="277" t="s">
        <v>218</v>
      </c>
      <c r="H149" s="276" t="s">
        <v>219</v>
      </c>
      <c r="I149" s="277" t="s">
        <v>155</v>
      </c>
      <c r="J149" s="276" t="s">
        <v>156</v>
      </c>
      <c r="K149" s="280"/>
      <c r="L149" s="280"/>
      <c r="M149" s="278">
        <v>1445</v>
      </c>
      <c r="N149" s="279">
        <v>395.39</v>
      </c>
      <c r="O149" s="281">
        <v>1445</v>
      </c>
      <c r="P149" s="282">
        <v>395.39</v>
      </c>
      <c r="Q149" s="249">
        <v>100</v>
      </c>
      <c r="R149" s="283">
        <f aca="true" t="shared" si="40" ref="R149:R164">ROUND(O149*Q149/100,0)</f>
        <v>1445</v>
      </c>
      <c r="S149" s="283">
        <f aca="true" t="shared" si="41" ref="S149:S155">ROUND(P149*Q149/100,2)</f>
        <v>395.39</v>
      </c>
      <c r="T149" s="284"/>
      <c r="U149" s="284"/>
      <c r="V149" s="285"/>
      <c r="W149" s="284">
        <v>0.02</v>
      </c>
      <c r="X149" s="286">
        <f t="shared" si="38"/>
        <v>28.9</v>
      </c>
      <c r="Y149" s="287">
        <f t="shared" si="39"/>
        <v>7.2250000000000005</v>
      </c>
      <c r="Z149" s="250">
        <v>724.28</v>
      </c>
      <c r="AA149" s="250">
        <f t="shared" si="34"/>
        <v>5232.92</v>
      </c>
      <c r="AB149" s="251">
        <f t="shared" si="35"/>
        <v>4186.34</v>
      </c>
      <c r="AC149" s="288">
        <f t="shared" si="36"/>
        <v>1046.58</v>
      </c>
      <c r="AD149" s="151" t="b">
        <f t="shared" si="37"/>
        <v>1</v>
      </c>
    </row>
    <row r="150" spans="1:30" ht="11.25">
      <c r="A150" s="243" t="s">
        <v>269</v>
      </c>
      <c r="B150" s="275">
        <v>101047808</v>
      </c>
      <c r="C150" s="276" t="s">
        <v>270</v>
      </c>
      <c r="D150" s="276" t="s">
        <v>150</v>
      </c>
      <c r="E150" s="276" t="s">
        <v>151</v>
      </c>
      <c r="F150" s="247" t="s">
        <v>172</v>
      </c>
      <c r="G150" s="277" t="s">
        <v>173</v>
      </c>
      <c r="H150" s="276" t="s">
        <v>174</v>
      </c>
      <c r="I150" s="277" t="s">
        <v>155</v>
      </c>
      <c r="J150" s="276" t="s">
        <v>156</v>
      </c>
      <c r="K150" s="278">
        <v>1500</v>
      </c>
      <c r="L150" s="279">
        <v>960.69</v>
      </c>
      <c r="M150" s="278">
        <v>2940</v>
      </c>
      <c r="N150" s="279">
        <v>1923.92</v>
      </c>
      <c r="O150" s="281">
        <v>4440</v>
      </c>
      <c r="P150" s="282">
        <v>2884.61</v>
      </c>
      <c r="Q150" s="249">
        <v>100</v>
      </c>
      <c r="R150" s="283">
        <f t="shared" si="40"/>
        <v>4440</v>
      </c>
      <c r="S150" s="283">
        <f t="shared" si="41"/>
        <v>2884.61</v>
      </c>
      <c r="T150" s="284">
        <v>85</v>
      </c>
      <c r="U150" s="284">
        <f>ROUND(O150/T150,0)</f>
        <v>52</v>
      </c>
      <c r="V150" s="285">
        <f>ROUND(R150/T150,0)</f>
        <v>52</v>
      </c>
      <c r="W150" s="284">
        <v>1.5</v>
      </c>
      <c r="X150" s="286">
        <f>ROUND(U150*W150,4)</f>
        <v>78</v>
      </c>
      <c r="Y150" s="287">
        <f>V150*W150/4</f>
        <v>19.5</v>
      </c>
      <c r="Z150" s="250">
        <v>724.28</v>
      </c>
      <c r="AA150" s="250">
        <f t="shared" si="34"/>
        <v>14123.46</v>
      </c>
      <c r="AB150" s="251">
        <f t="shared" si="35"/>
        <v>11298.77</v>
      </c>
      <c r="AC150" s="288">
        <f t="shared" si="36"/>
        <v>2824.69</v>
      </c>
      <c r="AD150" s="151" t="b">
        <f t="shared" si="37"/>
        <v>1</v>
      </c>
    </row>
    <row r="151" spans="1:30" ht="11.25">
      <c r="A151" s="243" t="s">
        <v>269</v>
      </c>
      <c r="B151" s="275">
        <v>101047807</v>
      </c>
      <c r="C151" s="276" t="s">
        <v>270</v>
      </c>
      <c r="D151" s="276" t="s">
        <v>150</v>
      </c>
      <c r="E151" s="276" t="s">
        <v>151</v>
      </c>
      <c r="F151" s="247" t="s">
        <v>175</v>
      </c>
      <c r="G151" s="277" t="s">
        <v>182</v>
      </c>
      <c r="H151" s="276" t="s">
        <v>183</v>
      </c>
      <c r="I151" s="277" t="s">
        <v>155</v>
      </c>
      <c r="J151" s="276" t="s">
        <v>156</v>
      </c>
      <c r="K151" s="278">
        <v>2000</v>
      </c>
      <c r="L151" s="279">
        <v>1300.09</v>
      </c>
      <c r="M151" s="278">
        <v>304</v>
      </c>
      <c r="N151" s="279">
        <v>244.39</v>
      </c>
      <c r="O151" s="281">
        <v>2304</v>
      </c>
      <c r="P151" s="282">
        <v>1544.48</v>
      </c>
      <c r="Q151" s="249">
        <v>90</v>
      </c>
      <c r="R151" s="283">
        <f t="shared" si="40"/>
        <v>2074</v>
      </c>
      <c r="S151" s="283">
        <f t="shared" si="41"/>
        <v>1390.03</v>
      </c>
      <c r="T151" s="284"/>
      <c r="U151" s="284"/>
      <c r="V151" s="285"/>
      <c r="W151" s="284">
        <v>0.02</v>
      </c>
      <c r="X151" s="286">
        <f>ROUND(O151*W151,4)</f>
        <v>46.08</v>
      </c>
      <c r="Y151" s="287">
        <f>R151*(W151/4)</f>
        <v>10.370000000000001</v>
      </c>
      <c r="Z151" s="250">
        <v>724.28</v>
      </c>
      <c r="AA151" s="250">
        <f t="shared" si="34"/>
        <v>7510.78</v>
      </c>
      <c r="AB151" s="251">
        <f t="shared" si="35"/>
        <v>6008.62</v>
      </c>
      <c r="AC151" s="288">
        <f t="shared" si="36"/>
        <v>1502.16</v>
      </c>
      <c r="AD151" s="151" t="b">
        <f t="shared" si="37"/>
        <v>1</v>
      </c>
    </row>
    <row r="152" spans="1:30" ht="11.25">
      <c r="A152" s="243" t="s">
        <v>269</v>
      </c>
      <c r="B152" s="275">
        <v>101047807</v>
      </c>
      <c r="C152" s="276" t="s">
        <v>270</v>
      </c>
      <c r="D152" s="276" t="s">
        <v>150</v>
      </c>
      <c r="E152" s="276" t="s">
        <v>151</v>
      </c>
      <c r="F152" s="247" t="s">
        <v>175</v>
      </c>
      <c r="G152" s="277" t="s">
        <v>184</v>
      </c>
      <c r="H152" s="276" t="s">
        <v>185</v>
      </c>
      <c r="I152" s="277" t="s">
        <v>155</v>
      </c>
      <c r="J152" s="276" t="s">
        <v>156</v>
      </c>
      <c r="K152" s="278">
        <v>2000</v>
      </c>
      <c r="L152" s="279">
        <v>844.13</v>
      </c>
      <c r="M152" s="278">
        <v>237</v>
      </c>
      <c r="N152" s="279">
        <v>121.57</v>
      </c>
      <c r="O152" s="281">
        <v>2237</v>
      </c>
      <c r="P152" s="282">
        <v>965.7</v>
      </c>
      <c r="Q152" s="291">
        <v>90</v>
      </c>
      <c r="R152" s="283">
        <f t="shared" si="40"/>
        <v>2013</v>
      </c>
      <c r="S152" s="283">
        <f t="shared" si="41"/>
        <v>869.13</v>
      </c>
      <c r="T152" s="284"/>
      <c r="U152" s="284"/>
      <c r="V152" s="285"/>
      <c r="W152" s="284">
        <v>0.02</v>
      </c>
      <c r="X152" s="286">
        <f>ROUND(O152*W152,4)</f>
        <v>44.74</v>
      </c>
      <c r="Y152" s="287">
        <f>R152*(W152/4)</f>
        <v>10.065</v>
      </c>
      <c r="Z152" s="250">
        <v>724.28</v>
      </c>
      <c r="AA152" s="250">
        <f t="shared" si="34"/>
        <v>7289.88</v>
      </c>
      <c r="AB152" s="251">
        <f t="shared" si="35"/>
        <v>5831.9</v>
      </c>
      <c r="AC152" s="288">
        <f t="shared" si="36"/>
        <v>1457.98</v>
      </c>
      <c r="AD152" s="151" t="b">
        <f t="shared" si="37"/>
        <v>1</v>
      </c>
    </row>
    <row r="153" spans="1:30" s="151" customFormat="1" ht="11.25">
      <c r="A153" s="243" t="s">
        <v>269</v>
      </c>
      <c r="B153" s="275">
        <v>101047807</v>
      </c>
      <c r="C153" s="276" t="s">
        <v>270</v>
      </c>
      <c r="D153" s="276" t="s">
        <v>150</v>
      </c>
      <c r="E153" s="276" t="s">
        <v>151</v>
      </c>
      <c r="F153" s="247" t="s">
        <v>175</v>
      </c>
      <c r="G153" s="277" t="s">
        <v>176</v>
      </c>
      <c r="H153" s="276" t="s">
        <v>177</v>
      </c>
      <c r="I153" s="277" t="s">
        <v>155</v>
      </c>
      <c r="J153" s="276" t="s">
        <v>156</v>
      </c>
      <c r="K153" s="280"/>
      <c r="L153" s="280"/>
      <c r="M153" s="278">
        <v>2156</v>
      </c>
      <c r="N153" s="279">
        <v>686.57</v>
      </c>
      <c r="O153" s="281">
        <v>2156</v>
      </c>
      <c r="P153" s="282">
        <v>686.57</v>
      </c>
      <c r="Q153" s="249">
        <v>75</v>
      </c>
      <c r="R153" s="283">
        <f t="shared" si="40"/>
        <v>1617</v>
      </c>
      <c r="S153" s="283">
        <f t="shared" si="41"/>
        <v>514.93</v>
      </c>
      <c r="T153" s="284"/>
      <c r="U153" s="284"/>
      <c r="V153" s="285"/>
      <c r="W153" s="284">
        <v>0.05</v>
      </c>
      <c r="X153" s="286">
        <f>ROUND(O153*W153,4)</f>
        <v>107.8</v>
      </c>
      <c r="Y153" s="287">
        <f>R153*(W153/4)</f>
        <v>20.212500000000002</v>
      </c>
      <c r="Z153" s="250">
        <v>724.28</v>
      </c>
      <c r="AA153" s="250">
        <f t="shared" si="34"/>
        <v>14639.51</v>
      </c>
      <c r="AB153" s="251">
        <f t="shared" si="35"/>
        <v>11711.61</v>
      </c>
      <c r="AC153" s="288">
        <f t="shared" si="36"/>
        <v>2927.9</v>
      </c>
      <c r="AD153" s="151" t="b">
        <f t="shared" si="37"/>
        <v>1</v>
      </c>
    </row>
    <row r="154" spans="1:30" s="151" customFormat="1" ht="11.25">
      <c r="A154" s="243" t="s">
        <v>269</v>
      </c>
      <c r="B154" s="275">
        <v>101047807</v>
      </c>
      <c r="C154" s="276" t="s">
        <v>270</v>
      </c>
      <c r="D154" s="276" t="s">
        <v>150</v>
      </c>
      <c r="E154" s="276" t="s">
        <v>151</v>
      </c>
      <c r="F154" s="247" t="s">
        <v>175</v>
      </c>
      <c r="G154" s="277" t="s">
        <v>186</v>
      </c>
      <c r="H154" s="276" t="s">
        <v>187</v>
      </c>
      <c r="I154" s="277" t="s">
        <v>155</v>
      </c>
      <c r="J154" s="276" t="s">
        <v>156</v>
      </c>
      <c r="K154" s="278">
        <v>13000</v>
      </c>
      <c r="L154" s="279">
        <v>1833.78</v>
      </c>
      <c r="M154" s="278">
        <v>-2870</v>
      </c>
      <c r="N154" s="279">
        <v>-417.04</v>
      </c>
      <c r="O154" s="281">
        <v>10130</v>
      </c>
      <c r="P154" s="282">
        <v>1416.74</v>
      </c>
      <c r="Q154" s="249">
        <v>75</v>
      </c>
      <c r="R154" s="283">
        <f t="shared" si="40"/>
        <v>7598</v>
      </c>
      <c r="S154" s="283">
        <f t="shared" si="41"/>
        <v>1062.56</v>
      </c>
      <c r="T154" s="284"/>
      <c r="U154" s="284"/>
      <c r="V154" s="285"/>
      <c r="W154" s="284">
        <v>0.05</v>
      </c>
      <c r="X154" s="286">
        <f>ROUND(O154*W154,4)</f>
        <v>506.5</v>
      </c>
      <c r="Y154" s="287">
        <f>R154*(W154/4)</f>
        <v>94.97500000000001</v>
      </c>
      <c r="Z154" s="250">
        <v>724.28</v>
      </c>
      <c r="AA154" s="250">
        <f t="shared" si="34"/>
        <v>68788.49</v>
      </c>
      <c r="AB154" s="251">
        <f t="shared" si="35"/>
        <v>55030.79</v>
      </c>
      <c r="AC154" s="288">
        <f t="shared" si="36"/>
        <v>13757.7</v>
      </c>
      <c r="AD154" s="151" t="b">
        <f t="shared" si="37"/>
        <v>1</v>
      </c>
    </row>
    <row r="155" spans="1:30" s="151" customFormat="1" ht="11.25">
      <c r="A155" s="243" t="s">
        <v>269</v>
      </c>
      <c r="B155" s="275">
        <v>101047808</v>
      </c>
      <c r="C155" s="276" t="s">
        <v>270</v>
      </c>
      <c r="D155" s="276" t="s">
        <v>150</v>
      </c>
      <c r="E155" s="276" t="s">
        <v>151</v>
      </c>
      <c r="F155" s="247" t="s">
        <v>172</v>
      </c>
      <c r="G155" s="277" t="s">
        <v>188</v>
      </c>
      <c r="H155" s="276" t="s">
        <v>189</v>
      </c>
      <c r="I155" s="277" t="s">
        <v>155</v>
      </c>
      <c r="J155" s="276" t="s">
        <v>156</v>
      </c>
      <c r="K155" s="278">
        <v>3000</v>
      </c>
      <c r="L155" s="279">
        <v>1303.43</v>
      </c>
      <c r="M155" s="278">
        <v>1000</v>
      </c>
      <c r="N155" s="279">
        <v>432.23</v>
      </c>
      <c r="O155" s="281">
        <v>4000</v>
      </c>
      <c r="P155" s="282">
        <v>1735.66</v>
      </c>
      <c r="Q155" s="249">
        <v>60</v>
      </c>
      <c r="R155" s="283">
        <f t="shared" si="40"/>
        <v>2400</v>
      </c>
      <c r="S155" s="283">
        <f t="shared" si="41"/>
        <v>1041.4</v>
      </c>
      <c r="T155" s="284">
        <v>85</v>
      </c>
      <c r="U155" s="284">
        <f>ROUND(O155/T155,0)</f>
        <v>47</v>
      </c>
      <c r="V155" s="285">
        <f>ROUND(R155/T155,0)</f>
        <v>28</v>
      </c>
      <c r="W155" s="284">
        <v>1.5</v>
      </c>
      <c r="X155" s="286">
        <f>ROUND(U155*W155,4)</f>
        <v>70.5</v>
      </c>
      <c r="Y155" s="287">
        <f>V155*W155/4</f>
        <v>10.5</v>
      </c>
      <c r="Z155" s="250">
        <v>724.28</v>
      </c>
      <c r="AA155" s="250">
        <f t="shared" si="34"/>
        <v>7604.94</v>
      </c>
      <c r="AB155" s="251">
        <f t="shared" si="35"/>
        <v>6083.95</v>
      </c>
      <c r="AC155" s="288">
        <f t="shared" si="36"/>
        <v>1520.99</v>
      </c>
      <c r="AD155" s="151" t="b">
        <f t="shared" si="37"/>
        <v>1</v>
      </c>
    </row>
    <row r="156" spans="1:30" s="151" customFormat="1" ht="11.25">
      <c r="A156" s="243" t="s">
        <v>269</v>
      </c>
      <c r="B156" s="275"/>
      <c r="C156" s="276" t="s">
        <v>270</v>
      </c>
      <c r="D156" s="276" t="s">
        <v>150</v>
      </c>
      <c r="E156" s="276" t="s">
        <v>151</v>
      </c>
      <c r="F156" s="247" t="s">
        <v>152</v>
      </c>
      <c r="G156" s="277" t="s">
        <v>157</v>
      </c>
      <c r="H156" s="276" t="s">
        <v>158</v>
      </c>
      <c r="I156" s="277" t="s">
        <v>155</v>
      </c>
      <c r="J156" s="276" t="s">
        <v>156</v>
      </c>
      <c r="K156" s="278">
        <v>6000</v>
      </c>
      <c r="L156" s="279">
        <v>2540.58</v>
      </c>
      <c r="M156" s="278">
        <v>-8175</v>
      </c>
      <c r="N156" s="279">
        <v>-3480.33</v>
      </c>
      <c r="O156" s="281">
        <v>-2175</v>
      </c>
      <c r="P156" s="282">
        <v>-939.75</v>
      </c>
      <c r="Q156" s="249">
        <v>0</v>
      </c>
      <c r="R156" s="283">
        <f t="shared" si="40"/>
        <v>0</v>
      </c>
      <c r="S156" s="283"/>
      <c r="T156" s="284"/>
      <c r="U156" s="284"/>
      <c r="V156" s="285"/>
      <c r="W156" s="284">
        <v>0.025</v>
      </c>
      <c r="X156" s="286">
        <v>0</v>
      </c>
      <c r="Y156" s="287">
        <f>R156*(W156/4)</f>
        <v>0</v>
      </c>
      <c r="Z156" s="250">
        <v>724.28</v>
      </c>
      <c r="AA156" s="250">
        <f t="shared" si="34"/>
        <v>0</v>
      </c>
      <c r="AB156" s="251">
        <f t="shared" si="35"/>
        <v>0</v>
      </c>
      <c r="AC156" s="288">
        <f t="shared" si="36"/>
        <v>0</v>
      </c>
      <c r="AD156" s="151" t="b">
        <f t="shared" si="37"/>
        <v>1</v>
      </c>
    </row>
    <row r="157" spans="1:30" s="151" customFormat="1" ht="11.25">
      <c r="A157" s="243" t="s">
        <v>269</v>
      </c>
      <c r="B157" s="244"/>
      <c r="C157" s="276" t="s">
        <v>270</v>
      </c>
      <c r="D157" s="276" t="s">
        <v>150</v>
      </c>
      <c r="E157" s="276" t="s">
        <v>151</v>
      </c>
      <c r="F157" s="247" t="s">
        <v>190</v>
      </c>
      <c r="G157" s="277" t="s">
        <v>191</v>
      </c>
      <c r="H157" s="276" t="s">
        <v>192</v>
      </c>
      <c r="I157" s="277" t="s">
        <v>155</v>
      </c>
      <c r="J157" s="276" t="s">
        <v>156</v>
      </c>
      <c r="K157" s="278">
        <v>2650</v>
      </c>
      <c r="L157" s="279">
        <v>1324.19</v>
      </c>
      <c r="M157" s="278">
        <v>1656</v>
      </c>
      <c r="N157" s="279">
        <v>810.43</v>
      </c>
      <c r="O157" s="281">
        <v>4306</v>
      </c>
      <c r="P157" s="282">
        <v>2134.62</v>
      </c>
      <c r="Q157" s="249">
        <v>0</v>
      </c>
      <c r="R157" s="283">
        <f t="shared" si="40"/>
        <v>0</v>
      </c>
      <c r="S157" s="283"/>
      <c r="T157" s="284"/>
      <c r="U157" s="284"/>
      <c r="V157" s="285"/>
      <c r="W157" s="284">
        <v>0.02</v>
      </c>
      <c r="X157" s="286">
        <f>ROUND(O157*W157,4)</f>
        <v>86.12</v>
      </c>
      <c r="Y157" s="287">
        <f>R157*(W157/4)</f>
        <v>0</v>
      </c>
      <c r="Z157" s="250">
        <v>724.28</v>
      </c>
      <c r="AA157" s="250">
        <f t="shared" si="34"/>
        <v>0</v>
      </c>
      <c r="AB157" s="251">
        <f t="shared" si="35"/>
        <v>0</v>
      </c>
      <c r="AC157" s="288">
        <f t="shared" si="36"/>
        <v>0</v>
      </c>
      <c r="AD157" s="151" t="b">
        <f t="shared" si="37"/>
        <v>1</v>
      </c>
    </row>
    <row r="158" spans="1:30" s="151" customFormat="1" ht="11.25">
      <c r="A158" s="243" t="s">
        <v>269</v>
      </c>
      <c r="B158" s="244"/>
      <c r="C158" s="276" t="s">
        <v>270</v>
      </c>
      <c r="D158" s="276" t="s">
        <v>150</v>
      </c>
      <c r="E158" s="276" t="s">
        <v>151</v>
      </c>
      <c r="F158" s="247" t="s">
        <v>231</v>
      </c>
      <c r="G158" s="277" t="s">
        <v>232</v>
      </c>
      <c r="H158" s="276" t="s">
        <v>233</v>
      </c>
      <c r="I158" s="277" t="s">
        <v>155</v>
      </c>
      <c r="J158" s="276" t="s">
        <v>156</v>
      </c>
      <c r="K158" s="278">
        <v>3750</v>
      </c>
      <c r="L158" s="279">
        <v>3013.78</v>
      </c>
      <c r="M158" s="278">
        <v>958</v>
      </c>
      <c r="N158" s="279">
        <v>773.83</v>
      </c>
      <c r="O158" s="281">
        <v>4708</v>
      </c>
      <c r="P158" s="282">
        <v>3787.61</v>
      </c>
      <c r="Q158" s="249">
        <v>0</v>
      </c>
      <c r="R158" s="283">
        <f t="shared" si="40"/>
        <v>0</v>
      </c>
      <c r="S158" s="283"/>
      <c r="T158" s="284"/>
      <c r="U158" s="284"/>
      <c r="V158" s="285"/>
      <c r="W158" s="284">
        <v>0.05</v>
      </c>
      <c r="X158" s="286">
        <f>ROUND(O158*W158,4)</f>
        <v>235.4</v>
      </c>
      <c r="Y158" s="287">
        <f>R158*(W158/4)</f>
        <v>0</v>
      </c>
      <c r="Z158" s="250">
        <v>724.28</v>
      </c>
      <c r="AA158" s="250">
        <f t="shared" si="34"/>
        <v>0</v>
      </c>
      <c r="AB158" s="251">
        <f t="shared" si="35"/>
        <v>0</v>
      </c>
      <c r="AC158" s="288">
        <f t="shared" si="36"/>
        <v>0</v>
      </c>
      <c r="AD158" s="151" t="b">
        <f t="shared" si="37"/>
        <v>1</v>
      </c>
    </row>
    <row r="159" spans="1:30" s="151" customFormat="1" ht="11.25">
      <c r="A159" s="243" t="s">
        <v>269</v>
      </c>
      <c r="B159" s="244"/>
      <c r="C159" s="276" t="s">
        <v>270</v>
      </c>
      <c r="D159" s="276" t="s">
        <v>150</v>
      </c>
      <c r="E159" s="276" t="s">
        <v>151</v>
      </c>
      <c r="F159" s="247" t="s">
        <v>193</v>
      </c>
      <c r="G159" s="277" t="s">
        <v>194</v>
      </c>
      <c r="H159" s="276" t="s">
        <v>195</v>
      </c>
      <c r="I159" s="277" t="s">
        <v>155</v>
      </c>
      <c r="J159" s="276" t="s">
        <v>156</v>
      </c>
      <c r="K159" s="280"/>
      <c r="L159" s="280"/>
      <c r="M159" s="278">
        <v>266</v>
      </c>
      <c r="N159" s="279">
        <v>709.15</v>
      </c>
      <c r="O159" s="281">
        <v>266</v>
      </c>
      <c r="P159" s="282">
        <v>709.15</v>
      </c>
      <c r="Q159" s="249">
        <v>0</v>
      </c>
      <c r="R159" s="283">
        <f t="shared" si="40"/>
        <v>0</v>
      </c>
      <c r="S159" s="283"/>
      <c r="T159" s="284"/>
      <c r="U159" s="284"/>
      <c r="V159" s="285"/>
      <c r="W159" s="284">
        <v>0.02</v>
      </c>
      <c r="X159" s="286">
        <f>ROUND(O159*W159,4)</f>
        <v>5.32</v>
      </c>
      <c r="Y159" s="287">
        <f>R159*(W159/4)</f>
        <v>0</v>
      </c>
      <c r="Z159" s="250">
        <v>724.28</v>
      </c>
      <c r="AA159" s="250">
        <f t="shared" si="34"/>
        <v>0</v>
      </c>
      <c r="AB159" s="251">
        <f t="shared" si="35"/>
        <v>0</v>
      </c>
      <c r="AC159" s="288">
        <f t="shared" si="36"/>
        <v>0</v>
      </c>
      <c r="AD159" s="151" t="b">
        <f t="shared" si="37"/>
        <v>1</v>
      </c>
    </row>
    <row r="160" spans="1:30" s="151" customFormat="1" ht="11.25">
      <c r="A160" s="243" t="s">
        <v>269</v>
      </c>
      <c r="B160" s="275"/>
      <c r="C160" s="276" t="s">
        <v>270</v>
      </c>
      <c r="D160" s="276" t="s">
        <v>150</v>
      </c>
      <c r="E160" s="276" t="s">
        <v>151</v>
      </c>
      <c r="F160" s="247" t="s">
        <v>172</v>
      </c>
      <c r="G160" s="277" t="s">
        <v>196</v>
      </c>
      <c r="H160" s="276" t="s">
        <v>197</v>
      </c>
      <c r="I160" s="277" t="s">
        <v>155</v>
      </c>
      <c r="J160" s="276" t="s">
        <v>156</v>
      </c>
      <c r="K160" s="278">
        <v>4000</v>
      </c>
      <c r="L160" s="279">
        <v>1708.94</v>
      </c>
      <c r="M160" s="278">
        <v>-4042</v>
      </c>
      <c r="N160" s="279">
        <v>-1738.36</v>
      </c>
      <c r="O160" s="281">
        <v>-42</v>
      </c>
      <c r="P160" s="282">
        <v>-29.42</v>
      </c>
      <c r="Q160" s="249">
        <v>0</v>
      </c>
      <c r="R160" s="283">
        <f t="shared" si="40"/>
        <v>0</v>
      </c>
      <c r="S160" s="283"/>
      <c r="T160" s="284">
        <v>85</v>
      </c>
      <c r="U160" s="284"/>
      <c r="V160" s="285">
        <f>ROUND(R160/T160,0)</f>
        <v>0</v>
      </c>
      <c r="W160" s="284">
        <v>1.5</v>
      </c>
      <c r="X160" s="286">
        <v>0</v>
      </c>
      <c r="Y160" s="287">
        <f>V160*W160/4</f>
        <v>0</v>
      </c>
      <c r="Z160" s="250">
        <v>724.28</v>
      </c>
      <c r="AA160" s="250">
        <f t="shared" si="34"/>
        <v>0</v>
      </c>
      <c r="AB160" s="251">
        <f t="shared" si="35"/>
        <v>0</v>
      </c>
      <c r="AC160" s="288">
        <f t="shared" si="36"/>
        <v>0</v>
      </c>
      <c r="AD160" s="151" t="b">
        <f t="shared" si="37"/>
        <v>1</v>
      </c>
    </row>
    <row r="161" spans="1:30" s="151" customFormat="1" ht="11.25">
      <c r="A161" s="243" t="s">
        <v>269</v>
      </c>
      <c r="B161" s="275"/>
      <c r="C161" s="276" t="s">
        <v>270</v>
      </c>
      <c r="D161" s="276" t="s">
        <v>150</v>
      </c>
      <c r="E161" s="276" t="s">
        <v>151</v>
      </c>
      <c r="F161" s="247" t="s">
        <v>172</v>
      </c>
      <c r="G161" s="277" t="s">
        <v>178</v>
      </c>
      <c r="H161" s="276" t="s">
        <v>179</v>
      </c>
      <c r="I161" s="277" t="s">
        <v>155</v>
      </c>
      <c r="J161" s="276" t="s">
        <v>156</v>
      </c>
      <c r="K161" s="280"/>
      <c r="L161" s="280"/>
      <c r="M161" s="278">
        <v>-582</v>
      </c>
      <c r="N161" s="279">
        <v>-697.89</v>
      </c>
      <c r="O161" s="281">
        <v>-582</v>
      </c>
      <c r="P161" s="282">
        <v>-697.89</v>
      </c>
      <c r="Q161" s="249">
        <v>0</v>
      </c>
      <c r="R161" s="283">
        <f t="shared" si="40"/>
        <v>0</v>
      </c>
      <c r="S161" s="283"/>
      <c r="T161" s="284">
        <v>85</v>
      </c>
      <c r="U161" s="284"/>
      <c r="V161" s="285">
        <f>ROUND(R161/T161,0)</f>
        <v>0</v>
      </c>
      <c r="W161" s="284">
        <v>1.5</v>
      </c>
      <c r="X161" s="286">
        <v>0</v>
      </c>
      <c r="Y161" s="287">
        <f>V161*W161/4</f>
        <v>0</v>
      </c>
      <c r="Z161" s="250">
        <v>724.28</v>
      </c>
      <c r="AA161" s="250">
        <f t="shared" si="34"/>
        <v>0</v>
      </c>
      <c r="AB161" s="251">
        <f t="shared" si="35"/>
        <v>0</v>
      </c>
      <c r="AC161" s="288">
        <f t="shared" si="36"/>
        <v>0</v>
      </c>
      <c r="AD161" s="151" t="b">
        <f t="shared" si="37"/>
        <v>1</v>
      </c>
    </row>
    <row r="162" spans="1:30" s="151" customFormat="1" ht="11.25">
      <c r="A162" s="243" t="s">
        <v>269</v>
      </c>
      <c r="B162" s="275"/>
      <c r="C162" s="276" t="s">
        <v>270</v>
      </c>
      <c r="D162" s="276" t="s">
        <v>150</v>
      </c>
      <c r="E162" s="276" t="s">
        <v>151</v>
      </c>
      <c r="F162" s="247" t="s">
        <v>172</v>
      </c>
      <c r="G162" s="277" t="s">
        <v>200</v>
      </c>
      <c r="H162" s="276" t="s">
        <v>201</v>
      </c>
      <c r="I162" s="277" t="s">
        <v>202</v>
      </c>
      <c r="J162" s="276" t="s">
        <v>203</v>
      </c>
      <c r="K162" s="280"/>
      <c r="L162" s="280"/>
      <c r="M162" s="292">
        <v>0</v>
      </c>
      <c r="N162" s="279">
        <v>-44.7</v>
      </c>
      <c r="O162" s="293">
        <v>0</v>
      </c>
      <c r="P162" s="282">
        <v>-44.7</v>
      </c>
      <c r="Q162" s="249">
        <v>0</v>
      </c>
      <c r="R162" s="283">
        <f t="shared" si="40"/>
        <v>0</v>
      </c>
      <c r="S162" s="283"/>
      <c r="T162" s="284">
        <v>85</v>
      </c>
      <c r="U162" s="284">
        <f>ROUND(O162/T162,0)</f>
        <v>0</v>
      </c>
      <c r="V162" s="285">
        <f>ROUND(R162/T162,0)</f>
        <v>0</v>
      </c>
      <c r="W162" s="284">
        <v>1.5</v>
      </c>
      <c r="X162" s="286">
        <f>ROUND(ROUND(O162/T162,0)*W162,4)</f>
        <v>0</v>
      </c>
      <c r="Y162" s="287">
        <f>V162*W162/4</f>
        <v>0</v>
      </c>
      <c r="Z162" s="250">
        <v>724.28</v>
      </c>
      <c r="AA162" s="250">
        <f t="shared" si="34"/>
        <v>0</v>
      </c>
      <c r="AB162" s="251">
        <f t="shared" si="35"/>
        <v>0</v>
      </c>
      <c r="AC162" s="288">
        <f t="shared" si="36"/>
        <v>0</v>
      </c>
      <c r="AD162" s="151" t="b">
        <f t="shared" si="37"/>
        <v>1</v>
      </c>
    </row>
    <row r="163" spans="1:30" s="151" customFormat="1" ht="11.25">
      <c r="A163" s="243" t="s">
        <v>269</v>
      </c>
      <c r="B163" s="275"/>
      <c r="C163" s="276" t="s">
        <v>270</v>
      </c>
      <c r="D163" s="276" t="s">
        <v>150</v>
      </c>
      <c r="E163" s="276" t="s">
        <v>151</v>
      </c>
      <c r="F163" s="247" t="s">
        <v>172</v>
      </c>
      <c r="G163" s="277" t="s">
        <v>257</v>
      </c>
      <c r="H163" s="276" t="s">
        <v>258</v>
      </c>
      <c r="I163" s="277" t="s">
        <v>202</v>
      </c>
      <c r="J163" s="276" t="s">
        <v>203</v>
      </c>
      <c r="K163" s="280"/>
      <c r="L163" s="280"/>
      <c r="M163" s="292">
        <v>0</v>
      </c>
      <c r="N163" s="279">
        <v>-81.97</v>
      </c>
      <c r="O163" s="293">
        <v>0</v>
      </c>
      <c r="P163" s="282">
        <v>-81.97</v>
      </c>
      <c r="Q163" s="249">
        <v>0</v>
      </c>
      <c r="R163" s="283">
        <f t="shared" si="40"/>
        <v>0</v>
      </c>
      <c r="S163" s="283"/>
      <c r="T163" s="284">
        <v>85</v>
      </c>
      <c r="U163" s="284">
        <f>ROUND(O163/T163,0)</f>
        <v>0</v>
      </c>
      <c r="V163" s="285">
        <f>ROUND(R163/T163,0)</f>
        <v>0</v>
      </c>
      <c r="W163" s="284">
        <v>1.5</v>
      </c>
      <c r="X163" s="286">
        <f>ROUND(ROUND(O163/T163,0)*W163,4)</f>
        <v>0</v>
      </c>
      <c r="Y163" s="287">
        <f>V163*W163/4</f>
        <v>0</v>
      </c>
      <c r="Z163" s="250">
        <v>724.28</v>
      </c>
      <c r="AA163" s="250">
        <f t="shared" si="34"/>
        <v>0</v>
      </c>
      <c r="AB163" s="251">
        <f t="shared" si="35"/>
        <v>0</v>
      </c>
      <c r="AC163" s="288">
        <f t="shared" si="36"/>
        <v>0</v>
      </c>
      <c r="AD163" s="151" t="b">
        <f t="shared" si="37"/>
        <v>1</v>
      </c>
    </row>
    <row r="164" spans="1:30" s="151" customFormat="1" ht="11.25">
      <c r="A164" s="243" t="s">
        <v>269</v>
      </c>
      <c r="B164" s="244"/>
      <c r="C164" s="276" t="s">
        <v>270</v>
      </c>
      <c r="D164" s="276" t="s">
        <v>150</v>
      </c>
      <c r="E164" s="276" t="s">
        <v>151</v>
      </c>
      <c r="F164" s="247" t="s">
        <v>224</v>
      </c>
      <c r="G164" s="277" t="s">
        <v>225</v>
      </c>
      <c r="H164" s="276" t="s">
        <v>226</v>
      </c>
      <c r="I164" s="277" t="s">
        <v>202</v>
      </c>
      <c r="J164" s="276" t="s">
        <v>203</v>
      </c>
      <c r="K164" s="280"/>
      <c r="L164" s="280"/>
      <c r="M164" s="278">
        <v>592</v>
      </c>
      <c r="N164" s="279">
        <v>231.41</v>
      </c>
      <c r="O164" s="281">
        <v>592</v>
      </c>
      <c r="P164" s="282">
        <v>231.41</v>
      </c>
      <c r="Q164" s="249">
        <v>0</v>
      </c>
      <c r="R164" s="283">
        <f t="shared" si="40"/>
        <v>0</v>
      </c>
      <c r="S164" s="283"/>
      <c r="T164" s="284"/>
      <c r="U164" s="284"/>
      <c r="V164" s="285"/>
      <c r="W164" s="284">
        <v>0.2</v>
      </c>
      <c r="X164" s="286">
        <f>ROUND(O164*W164,4)</f>
        <v>118.4</v>
      </c>
      <c r="Y164" s="287">
        <f>R164*(W164/4)</f>
        <v>0</v>
      </c>
      <c r="Z164" s="250">
        <v>724.28</v>
      </c>
      <c r="AA164" s="250">
        <f t="shared" si="34"/>
        <v>0</v>
      </c>
      <c r="AB164" s="251">
        <f t="shared" si="35"/>
        <v>0</v>
      </c>
      <c r="AC164" s="288">
        <f t="shared" si="36"/>
        <v>0</v>
      </c>
      <c r="AD164" s="151" t="b">
        <f t="shared" si="37"/>
        <v>1</v>
      </c>
    </row>
    <row r="165" spans="1:30" s="151" customFormat="1" ht="11.25">
      <c r="A165" s="243" t="s">
        <v>269</v>
      </c>
      <c r="B165" s="244"/>
      <c r="C165" s="276" t="s">
        <v>270</v>
      </c>
      <c r="D165" s="276" t="s">
        <v>204</v>
      </c>
      <c r="E165" s="276" t="s">
        <v>205</v>
      </c>
      <c r="F165" s="276"/>
      <c r="G165" s="277" t="s">
        <v>206</v>
      </c>
      <c r="H165" s="276" t="s">
        <v>207</v>
      </c>
      <c r="I165" s="277" t="s">
        <v>208</v>
      </c>
      <c r="J165" s="276" t="s">
        <v>209</v>
      </c>
      <c r="K165" s="280"/>
      <c r="L165" s="280"/>
      <c r="M165" s="292">
        <v>0</v>
      </c>
      <c r="N165" s="279">
        <v>-1.28</v>
      </c>
      <c r="O165" s="293">
        <v>0</v>
      </c>
      <c r="P165" s="282">
        <v>-1.28</v>
      </c>
      <c r="Q165" s="246"/>
      <c r="R165" s="283">
        <v>0</v>
      </c>
      <c r="S165" s="283"/>
      <c r="T165" s="246"/>
      <c r="U165" s="246"/>
      <c r="V165" s="285"/>
      <c r="W165" s="246">
        <v>0.01</v>
      </c>
      <c r="X165" s="286">
        <f>ROUND(O165*W165,4)</f>
        <v>0</v>
      </c>
      <c r="Y165" s="287">
        <f>R165*(W165/4)</f>
        <v>0</v>
      </c>
      <c r="Z165" s="250">
        <v>724.28</v>
      </c>
      <c r="AA165" s="250">
        <f t="shared" si="34"/>
        <v>0</v>
      </c>
      <c r="AB165" s="251">
        <f t="shared" si="35"/>
        <v>0</v>
      </c>
      <c r="AC165" s="288">
        <f t="shared" si="36"/>
        <v>0</v>
      </c>
      <c r="AD165" s="151" t="b">
        <f t="shared" si="37"/>
        <v>1</v>
      </c>
    </row>
    <row r="166" spans="1:30" s="151" customFormat="1" ht="11.25">
      <c r="A166" s="243" t="s">
        <v>269</v>
      </c>
      <c r="B166" s="244"/>
      <c r="C166" s="276" t="s">
        <v>270</v>
      </c>
      <c r="D166" s="276" t="s">
        <v>204</v>
      </c>
      <c r="E166" s="276" t="s">
        <v>205</v>
      </c>
      <c r="F166" s="276"/>
      <c r="G166" s="277" t="s">
        <v>239</v>
      </c>
      <c r="H166" s="276" t="s">
        <v>240</v>
      </c>
      <c r="I166" s="277" t="s">
        <v>208</v>
      </c>
      <c r="J166" s="276" t="s">
        <v>209</v>
      </c>
      <c r="K166" s="280"/>
      <c r="L166" s="280"/>
      <c r="M166" s="292">
        <v>0</v>
      </c>
      <c r="N166" s="279">
        <v>-0.73</v>
      </c>
      <c r="O166" s="293">
        <v>0</v>
      </c>
      <c r="P166" s="282">
        <v>-0.73</v>
      </c>
      <c r="Q166" s="246"/>
      <c r="R166" s="283">
        <v>0</v>
      </c>
      <c r="S166" s="283"/>
      <c r="T166" s="246"/>
      <c r="U166" s="246"/>
      <c r="V166" s="285"/>
      <c r="W166" s="246">
        <v>0.02</v>
      </c>
      <c r="X166" s="286">
        <f>ROUND(O166*W166,4)</f>
        <v>0</v>
      </c>
      <c r="Y166" s="287">
        <f>R166*(W166/4)</f>
        <v>0</v>
      </c>
      <c r="Z166" s="250">
        <v>724.28</v>
      </c>
      <c r="AA166" s="250">
        <f t="shared" si="34"/>
        <v>0</v>
      </c>
      <c r="AB166" s="251">
        <f t="shared" si="35"/>
        <v>0</v>
      </c>
      <c r="AC166" s="288">
        <f t="shared" si="36"/>
        <v>0</v>
      </c>
      <c r="AD166" s="151" t="b">
        <f t="shared" si="37"/>
        <v>1</v>
      </c>
    </row>
    <row r="167" spans="1:30" s="151" customFormat="1" ht="11.25">
      <c r="A167" s="243" t="s">
        <v>269</v>
      </c>
      <c r="B167" s="244"/>
      <c r="C167" s="276" t="s">
        <v>270</v>
      </c>
      <c r="D167" s="276" t="s">
        <v>204</v>
      </c>
      <c r="E167" s="276" t="s">
        <v>205</v>
      </c>
      <c r="F167" s="276"/>
      <c r="G167" s="277" t="s">
        <v>210</v>
      </c>
      <c r="H167" s="276" t="s">
        <v>211</v>
      </c>
      <c r="I167" s="277" t="s">
        <v>208</v>
      </c>
      <c r="J167" s="276" t="s">
        <v>209</v>
      </c>
      <c r="K167" s="280"/>
      <c r="L167" s="280"/>
      <c r="M167" s="278">
        <v>320</v>
      </c>
      <c r="N167" s="279">
        <v>351.76</v>
      </c>
      <c r="O167" s="281">
        <v>320</v>
      </c>
      <c r="P167" s="282">
        <v>351.76</v>
      </c>
      <c r="Q167" s="246"/>
      <c r="R167" s="283">
        <v>0</v>
      </c>
      <c r="S167" s="283"/>
      <c r="T167" s="246"/>
      <c r="U167" s="246"/>
      <c r="V167" s="285"/>
      <c r="W167" s="246">
        <v>0.015</v>
      </c>
      <c r="X167" s="286">
        <f>ROUND(O167*W167,4)</f>
        <v>4.8</v>
      </c>
      <c r="Y167" s="287">
        <f>R167*(W167/4)</f>
        <v>0</v>
      </c>
      <c r="Z167" s="250">
        <v>724.28</v>
      </c>
      <c r="AA167" s="250">
        <f t="shared" si="34"/>
        <v>0</v>
      </c>
      <c r="AB167" s="251">
        <f t="shared" si="35"/>
        <v>0</v>
      </c>
      <c r="AC167" s="288">
        <f t="shared" si="36"/>
        <v>0</v>
      </c>
      <c r="AD167" s="151" t="b">
        <f t="shared" si="37"/>
        <v>1</v>
      </c>
    </row>
    <row r="168" spans="1:30" s="151" customFormat="1" ht="11.25">
      <c r="A168" s="243" t="s">
        <v>269</v>
      </c>
      <c r="B168" s="244"/>
      <c r="C168" s="276" t="s">
        <v>270</v>
      </c>
      <c r="D168" s="276" t="s">
        <v>204</v>
      </c>
      <c r="E168" s="276" t="s">
        <v>205</v>
      </c>
      <c r="F168" s="276"/>
      <c r="G168" s="277" t="s">
        <v>245</v>
      </c>
      <c r="H168" s="276" t="s">
        <v>246</v>
      </c>
      <c r="I168" s="277" t="s">
        <v>208</v>
      </c>
      <c r="J168" s="276" t="s">
        <v>209</v>
      </c>
      <c r="K168" s="280"/>
      <c r="L168" s="280"/>
      <c r="M168" s="278">
        <v>190</v>
      </c>
      <c r="N168" s="279">
        <v>401.91</v>
      </c>
      <c r="O168" s="281">
        <v>190</v>
      </c>
      <c r="P168" s="282">
        <v>401.91</v>
      </c>
      <c r="Q168" s="246"/>
      <c r="R168" s="283">
        <v>0</v>
      </c>
      <c r="S168" s="283"/>
      <c r="T168" s="246"/>
      <c r="U168" s="246"/>
      <c r="V168" s="285"/>
      <c r="W168" s="246">
        <v>0.03</v>
      </c>
      <c r="X168" s="286">
        <f>ROUND(O168*W168,4)</f>
        <v>5.7</v>
      </c>
      <c r="Y168" s="287">
        <f>R168*(W168/4)</f>
        <v>0</v>
      </c>
      <c r="Z168" s="250">
        <v>724.28</v>
      </c>
      <c r="AA168" s="250">
        <f t="shared" si="34"/>
        <v>0</v>
      </c>
      <c r="AB168" s="251">
        <f t="shared" si="35"/>
        <v>0</v>
      </c>
      <c r="AC168" s="288">
        <f t="shared" si="36"/>
        <v>0</v>
      </c>
      <c r="AD168" s="151" t="b">
        <f t="shared" si="37"/>
        <v>1</v>
      </c>
    </row>
    <row r="169" spans="1:30" ht="11.25">
      <c r="A169" s="243" t="s">
        <v>271</v>
      </c>
      <c r="B169" s="275">
        <v>101047810</v>
      </c>
      <c r="C169" s="276" t="s">
        <v>272</v>
      </c>
      <c r="D169" s="276" t="s">
        <v>150</v>
      </c>
      <c r="E169" s="276" t="s">
        <v>151</v>
      </c>
      <c r="F169" s="247" t="s">
        <v>172</v>
      </c>
      <c r="G169" s="277" t="s">
        <v>173</v>
      </c>
      <c r="H169" s="276" t="s">
        <v>174</v>
      </c>
      <c r="I169" s="277" t="s">
        <v>155</v>
      </c>
      <c r="J169" s="276" t="s">
        <v>156</v>
      </c>
      <c r="K169" s="278">
        <v>2400</v>
      </c>
      <c r="L169" s="279">
        <v>1544.88</v>
      </c>
      <c r="M169" s="278">
        <v>-718</v>
      </c>
      <c r="N169" s="279">
        <v>-473.89</v>
      </c>
      <c r="O169" s="281">
        <v>1682</v>
      </c>
      <c r="P169" s="282">
        <v>1070.99</v>
      </c>
      <c r="Q169" s="249">
        <v>100</v>
      </c>
      <c r="R169" s="283">
        <f aca="true" t="shared" si="42" ref="R169:R182">ROUND(O169*Q169/100,0)</f>
        <v>1682</v>
      </c>
      <c r="S169" s="283">
        <f aca="true" t="shared" si="43" ref="S169:S176">ROUND(P169*Q169/100,2)</f>
        <v>1070.99</v>
      </c>
      <c r="T169" s="284">
        <v>69</v>
      </c>
      <c r="U169" s="284">
        <f>ROUND(O169/T169,0)</f>
        <v>24</v>
      </c>
      <c r="V169" s="285">
        <f>ROUND(R169/T169,0)</f>
        <v>24</v>
      </c>
      <c r="W169" s="284">
        <v>1.5</v>
      </c>
      <c r="X169" s="286">
        <f>ROUND(U169*W169,4)</f>
        <v>36</v>
      </c>
      <c r="Y169" s="287">
        <f>V169*W169/4</f>
        <v>9</v>
      </c>
      <c r="Z169" s="250">
        <v>724.28</v>
      </c>
      <c r="AA169" s="250">
        <f t="shared" si="34"/>
        <v>6518.52</v>
      </c>
      <c r="AB169" s="251">
        <f t="shared" si="35"/>
        <v>5214.82</v>
      </c>
      <c r="AC169" s="288">
        <f t="shared" si="36"/>
        <v>1303.7</v>
      </c>
      <c r="AD169" s="151" t="b">
        <f t="shared" si="37"/>
        <v>1</v>
      </c>
    </row>
    <row r="170" spans="1:30" s="151" customFormat="1" ht="11.25">
      <c r="A170" s="243" t="s">
        <v>271</v>
      </c>
      <c r="B170" s="275">
        <v>101047809</v>
      </c>
      <c r="C170" s="276" t="s">
        <v>272</v>
      </c>
      <c r="D170" s="276" t="s">
        <v>150</v>
      </c>
      <c r="E170" s="276" t="s">
        <v>151</v>
      </c>
      <c r="F170" s="247" t="s">
        <v>175</v>
      </c>
      <c r="G170" s="277" t="s">
        <v>182</v>
      </c>
      <c r="H170" s="276" t="s">
        <v>183</v>
      </c>
      <c r="I170" s="277" t="s">
        <v>155</v>
      </c>
      <c r="J170" s="276" t="s">
        <v>156</v>
      </c>
      <c r="K170" s="278">
        <v>1700</v>
      </c>
      <c r="L170" s="279">
        <v>1376.47</v>
      </c>
      <c r="M170" s="278">
        <v>500</v>
      </c>
      <c r="N170" s="279">
        <v>400.87</v>
      </c>
      <c r="O170" s="281">
        <v>2200</v>
      </c>
      <c r="P170" s="282">
        <v>1777.34</v>
      </c>
      <c r="Q170" s="249">
        <v>90</v>
      </c>
      <c r="R170" s="283">
        <f t="shared" si="42"/>
        <v>1980</v>
      </c>
      <c r="S170" s="283">
        <f t="shared" si="43"/>
        <v>1599.61</v>
      </c>
      <c r="T170" s="284"/>
      <c r="U170" s="284"/>
      <c r="V170" s="285"/>
      <c r="W170" s="284">
        <v>0.02</v>
      </c>
      <c r="X170" s="286">
        <f>ROUND(O170*W170,4)</f>
        <v>44</v>
      </c>
      <c r="Y170" s="287">
        <f>R170*(W170/4)</f>
        <v>9.9</v>
      </c>
      <c r="Z170" s="250">
        <v>724.28</v>
      </c>
      <c r="AA170" s="250">
        <f t="shared" si="34"/>
        <v>7170.37</v>
      </c>
      <c r="AB170" s="251">
        <f t="shared" si="35"/>
        <v>5736.3</v>
      </c>
      <c r="AC170" s="288">
        <f t="shared" si="36"/>
        <v>1434.07</v>
      </c>
      <c r="AD170" s="151" t="b">
        <f t="shared" si="37"/>
        <v>1</v>
      </c>
    </row>
    <row r="171" spans="1:30" s="151" customFormat="1" ht="11.25">
      <c r="A171" s="243" t="s">
        <v>271</v>
      </c>
      <c r="B171" s="275">
        <v>101047809</v>
      </c>
      <c r="C171" s="276" t="s">
        <v>272</v>
      </c>
      <c r="D171" s="276" t="s">
        <v>150</v>
      </c>
      <c r="E171" s="276" t="s">
        <v>151</v>
      </c>
      <c r="F171" s="247" t="s">
        <v>175</v>
      </c>
      <c r="G171" s="277" t="s">
        <v>184</v>
      </c>
      <c r="H171" s="276" t="s">
        <v>185</v>
      </c>
      <c r="I171" s="277" t="s">
        <v>155</v>
      </c>
      <c r="J171" s="276" t="s">
        <v>156</v>
      </c>
      <c r="K171" s="278">
        <v>1640</v>
      </c>
      <c r="L171" s="279">
        <v>885.5</v>
      </c>
      <c r="M171" s="278">
        <v>500</v>
      </c>
      <c r="N171" s="279">
        <v>256.48</v>
      </c>
      <c r="O171" s="281">
        <v>2140</v>
      </c>
      <c r="P171" s="282">
        <v>1141.98</v>
      </c>
      <c r="Q171" s="291">
        <v>90</v>
      </c>
      <c r="R171" s="283">
        <f t="shared" si="42"/>
        <v>1926</v>
      </c>
      <c r="S171" s="283">
        <f t="shared" si="43"/>
        <v>1027.78</v>
      </c>
      <c r="T171" s="284"/>
      <c r="U171" s="284"/>
      <c r="V171" s="285"/>
      <c r="W171" s="284">
        <v>0.02</v>
      </c>
      <c r="X171" s="286">
        <f>ROUND(O171*W171,4)</f>
        <v>42.8</v>
      </c>
      <c r="Y171" s="287">
        <f>R171*(W171/4)</f>
        <v>9.63</v>
      </c>
      <c r="Z171" s="250">
        <v>724.28</v>
      </c>
      <c r="AA171" s="250">
        <f t="shared" si="34"/>
        <v>6974.82</v>
      </c>
      <c r="AB171" s="251">
        <f t="shared" si="35"/>
        <v>5579.86</v>
      </c>
      <c r="AC171" s="288">
        <f t="shared" si="36"/>
        <v>1394.96</v>
      </c>
      <c r="AD171" s="151" t="b">
        <f t="shared" si="37"/>
        <v>1</v>
      </c>
    </row>
    <row r="172" spans="1:30" s="151" customFormat="1" ht="11.25">
      <c r="A172" s="243" t="s">
        <v>271</v>
      </c>
      <c r="B172" s="275">
        <v>101047809</v>
      </c>
      <c r="C172" s="276" t="s">
        <v>272</v>
      </c>
      <c r="D172" s="276" t="s">
        <v>150</v>
      </c>
      <c r="E172" s="276" t="s">
        <v>151</v>
      </c>
      <c r="F172" s="247" t="s">
        <v>175</v>
      </c>
      <c r="G172" s="277" t="s">
        <v>186</v>
      </c>
      <c r="H172" s="276" t="s">
        <v>187</v>
      </c>
      <c r="I172" s="277" t="s">
        <v>155</v>
      </c>
      <c r="J172" s="276" t="s">
        <v>156</v>
      </c>
      <c r="K172" s="278">
        <v>19380</v>
      </c>
      <c r="L172" s="279">
        <v>2746.67</v>
      </c>
      <c r="M172" s="278">
        <v>-10190</v>
      </c>
      <c r="N172" s="279">
        <v>-1477.91</v>
      </c>
      <c r="O172" s="281">
        <v>9190</v>
      </c>
      <c r="P172" s="282">
        <v>1268.76</v>
      </c>
      <c r="Q172" s="249">
        <v>75</v>
      </c>
      <c r="R172" s="283">
        <f t="shared" si="42"/>
        <v>6893</v>
      </c>
      <c r="S172" s="283">
        <f t="shared" si="43"/>
        <v>951.57</v>
      </c>
      <c r="T172" s="284"/>
      <c r="U172" s="284"/>
      <c r="V172" s="285"/>
      <c r="W172" s="284">
        <v>0.05</v>
      </c>
      <c r="X172" s="286">
        <f>ROUND(O172*W172,4)</f>
        <v>459.5</v>
      </c>
      <c r="Y172" s="287">
        <f>R172*(W172/4)</f>
        <v>86.16250000000001</v>
      </c>
      <c r="Z172" s="250">
        <v>724.28</v>
      </c>
      <c r="AA172" s="250">
        <f t="shared" si="34"/>
        <v>62405.78</v>
      </c>
      <c r="AB172" s="251">
        <f t="shared" si="35"/>
        <v>49924.62</v>
      </c>
      <c r="AC172" s="288">
        <f t="shared" si="36"/>
        <v>12481.16</v>
      </c>
      <c r="AD172" s="151" t="b">
        <f t="shared" si="37"/>
        <v>1</v>
      </c>
    </row>
    <row r="173" spans="1:30" s="151" customFormat="1" ht="11.25">
      <c r="A173" s="243" t="s">
        <v>271</v>
      </c>
      <c r="B173" s="275">
        <v>101047809</v>
      </c>
      <c r="C173" s="276" t="s">
        <v>272</v>
      </c>
      <c r="D173" s="276" t="s">
        <v>150</v>
      </c>
      <c r="E173" s="276" t="s">
        <v>151</v>
      </c>
      <c r="F173" s="247" t="s">
        <v>152</v>
      </c>
      <c r="G173" s="277" t="s">
        <v>157</v>
      </c>
      <c r="H173" s="276" t="s">
        <v>158</v>
      </c>
      <c r="I173" s="277" t="s">
        <v>155</v>
      </c>
      <c r="J173" s="276" t="s">
        <v>156</v>
      </c>
      <c r="K173" s="278">
        <v>10500</v>
      </c>
      <c r="L173" s="279">
        <v>4446.01</v>
      </c>
      <c r="M173" s="278">
        <v>-7500</v>
      </c>
      <c r="N173" s="279">
        <v>-3184.36</v>
      </c>
      <c r="O173" s="281">
        <v>3000</v>
      </c>
      <c r="P173" s="282">
        <v>1261.65</v>
      </c>
      <c r="Q173" s="249">
        <v>75</v>
      </c>
      <c r="R173" s="283">
        <f t="shared" si="42"/>
        <v>2250</v>
      </c>
      <c r="S173" s="283">
        <f t="shared" si="43"/>
        <v>946.24</v>
      </c>
      <c r="T173" s="284"/>
      <c r="U173" s="284"/>
      <c r="V173" s="285"/>
      <c r="W173" s="284">
        <v>0.025</v>
      </c>
      <c r="X173" s="286">
        <f>ROUND(O173*W173,4)</f>
        <v>75</v>
      </c>
      <c r="Y173" s="287">
        <f>R173*(W173/4)</f>
        <v>14.0625</v>
      </c>
      <c r="Z173" s="250">
        <v>724.28</v>
      </c>
      <c r="AA173" s="250">
        <f t="shared" si="34"/>
        <v>10185.19</v>
      </c>
      <c r="AB173" s="251">
        <f t="shared" si="35"/>
        <v>8148.15</v>
      </c>
      <c r="AC173" s="288">
        <f t="shared" si="36"/>
        <v>2037.04</v>
      </c>
      <c r="AD173" s="151" t="b">
        <f t="shared" si="37"/>
        <v>1</v>
      </c>
    </row>
    <row r="174" spans="1:30" s="151" customFormat="1" ht="11.25">
      <c r="A174" s="243" t="s">
        <v>271</v>
      </c>
      <c r="B174" s="275">
        <v>101047809</v>
      </c>
      <c r="C174" s="276" t="s">
        <v>272</v>
      </c>
      <c r="D174" s="276" t="s">
        <v>150</v>
      </c>
      <c r="E174" s="276" t="s">
        <v>151</v>
      </c>
      <c r="F174" s="247" t="s">
        <v>152</v>
      </c>
      <c r="G174" s="277" t="s">
        <v>159</v>
      </c>
      <c r="H174" s="276" t="s">
        <v>160</v>
      </c>
      <c r="I174" s="277" t="s">
        <v>155</v>
      </c>
      <c r="J174" s="276" t="s">
        <v>156</v>
      </c>
      <c r="K174" s="278">
        <v>4000</v>
      </c>
      <c r="L174" s="279">
        <v>2971.85</v>
      </c>
      <c r="M174" s="278">
        <v>-2660</v>
      </c>
      <c r="N174" s="279">
        <v>-1977.78</v>
      </c>
      <c r="O174" s="281">
        <v>1340</v>
      </c>
      <c r="P174" s="282">
        <v>994.07</v>
      </c>
      <c r="Q174" s="249">
        <v>75</v>
      </c>
      <c r="R174" s="283">
        <f t="shared" si="42"/>
        <v>1005</v>
      </c>
      <c r="S174" s="283">
        <f t="shared" si="43"/>
        <v>745.55</v>
      </c>
      <c r="T174" s="284"/>
      <c r="U174" s="284"/>
      <c r="V174" s="285"/>
      <c r="W174" s="284">
        <v>0.05</v>
      </c>
      <c r="X174" s="286">
        <f>ROUND(O174*W174,4)</f>
        <v>67</v>
      </c>
      <c r="Y174" s="287">
        <f>R174*(W174/4)</f>
        <v>12.5625</v>
      </c>
      <c r="Z174" s="250">
        <v>724.28</v>
      </c>
      <c r="AA174" s="250">
        <f t="shared" si="34"/>
        <v>9098.77</v>
      </c>
      <c r="AB174" s="251">
        <f t="shared" si="35"/>
        <v>7279.02</v>
      </c>
      <c r="AC174" s="288">
        <f t="shared" si="36"/>
        <v>1819.75</v>
      </c>
      <c r="AD174" s="151" t="b">
        <f t="shared" si="37"/>
        <v>1</v>
      </c>
    </row>
    <row r="175" spans="1:30" s="151" customFormat="1" ht="11.25">
      <c r="A175" s="243" t="s">
        <v>271</v>
      </c>
      <c r="B175" s="275">
        <v>101047810</v>
      </c>
      <c r="C175" s="276" t="s">
        <v>272</v>
      </c>
      <c r="D175" s="276" t="s">
        <v>150</v>
      </c>
      <c r="E175" s="276" t="s">
        <v>151</v>
      </c>
      <c r="F175" s="247" t="s">
        <v>172</v>
      </c>
      <c r="G175" s="277" t="s">
        <v>196</v>
      </c>
      <c r="H175" s="276" t="s">
        <v>197</v>
      </c>
      <c r="I175" s="277" t="s">
        <v>155</v>
      </c>
      <c r="J175" s="276" t="s">
        <v>156</v>
      </c>
      <c r="K175" s="278">
        <v>4000</v>
      </c>
      <c r="L175" s="279">
        <v>1712.43</v>
      </c>
      <c r="M175" s="278">
        <v>-890</v>
      </c>
      <c r="N175" s="279">
        <v>-376.99</v>
      </c>
      <c r="O175" s="281">
        <v>3110</v>
      </c>
      <c r="P175" s="282">
        <v>1335.44</v>
      </c>
      <c r="Q175" s="249">
        <v>60</v>
      </c>
      <c r="R175" s="283">
        <f t="shared" si="42"/>
        <v>1866</v>
      </c>
      <c r="S175" s="283">
        <f t="shared" si="43"/>
        <v>801.26</v>
      </c>
      <c r="T175" s="284">
        <v>69</v>
      </c>
      <c r="U175" s="284">
        <f>ROUND(O175/T175,0)</f>
        <v>45</v>
      </c>
      <c r="V175" s="285">
        <f>ROUND(R175/T175,0)</f>
        <v>27</v>
      </c>
      <c r="W175" s="284">
        <v>1.5</v>
      </c>
      <c r="X175" s="286">
        <f>ROUND(U175*W175,4)</f>
        <v>67.5</v>
      </c>
      <c r="Y175" s="287">
        <f>V175*W175/4</f>
        <v>10.125</v>
      </c>
      <c r="Z175" s="250">
        <v>724.28</v>
      </c>
      <c r="AA175" s="250">
        <f t="shared" si="34"/>
        <v>7333.34</v>
      </c>
      <c r="AB175" s="251">
        <f t="shared" si="35"/>
        <v>5866.67</v>
      </c>
      <c r="AC175" s="288">
        <f t="shared" si="36"/>
        <v>1466.67</v>
      </c>
      <c r="AD175" s="151" t="b">
        <f t="shared" si="37"/>
        <v>1</v>
      </c>
    </row>
    <row r="176" spans="1:30" s="151" customFormat="1" ht="11.25">
      <c r="A176" s="243" t="s">
        <v>271</v>
      </c>
      <c r="B176" s="275">
        <v>101047810</v>
      </c>
      <c r="C176" s="276" t="s">
        <v>272</v>
      </c>
      <c r="D176" s="276" t="s">
        <v>150</v>
      </c>
      <c r="E176" s="276" t="s">
        <v>151</v>
      </c>
      <c r="F176" s="247" t="s">
        <v>172</v>
      </c>
      <c r="G176" s="277" t="s">
        <v>188</v>
      </c>
      <c r="H176" s="276" t="s">
        <v>189</v>
      </c>
      <c r="I176" s="277" t="s">
        <v>155</v>
      </c>
      <c r="J176" s="276" t="s">
        <v>156</v>
      </c>
      <c r="K176" s="278">
        <v>2500</v>
      </c>
      <c r="L176" s="279">
        <v>1086.19</v>
      </c>
      <c r="M176" s="280"/>
      <c r="N176" s="280"/>
      <c r="O176" s="281">
        <v>2500</v>
      </c>
      <c r="P176" s="282">
        <v>1086.19</v>
      </c>
      <c r="Q176" s="249">
        <v>60</v>
      </c>
      <c r="R176" s="283">
        <f t="shared" si="42"/>
        <v>1500</v>
      </c>
      <c r="S176" s="283">
        <f t="shared" si="43"/>
        <v>651.71</v>
      </c>
      <c r="T176" s="284">
        <v>69</v>
      </c>
      <c r="U176" s="284">
        <f>ROUND(O176/T176,0)</f>
        <v>36</v>
      </c>
      <c r="V176" s="285">
        <f>ROUND(R176/T176,0)</f>
        <v>22</v>
      </c>
      <c r="W176" s="284">
        <v>1.5</v>
      </c>
      <c r="X176" s="286">
        <f>ROUND(U176*W176,4)</f>
        <v>54</v>
      </c>
      <c r="Y176" s="287">
        <f>V176*W176/4</f>
        <v>8.25</v>
      </c>
      <c r="Z176" s="250">
        <v>724.28</v>
      </c>
      <c r="AA176" s="250">
        <f t="shared" si="34"/>
        <v>5975.31</v>
      </c>
      <c r="AB176" s="251">
        <f t="shared" si="35"/>
        <v>4780.25</v>
      </c>
      <c r="AC176" s="288">
        <f t="shared" si="36"/>
        <v>1195.06</v>
      </c>
      <c r="AD176" s="151" t="b">
        <f t="shared" si="37"/>
        <v>1</v>
      </c>
    </row>
    <row r="177" spans="1:30" s="151" customFormat="1" ht="11.25">
      <c r="A177" s="243" t="s">
        <v>271</v>
      </c>
      <c r="B177" s="275"/>
      <c r="C177" s="276" t="s">
        <v>272</v>
      </c>
      <c r="D177" s="276" t="s">
        <v>150</v>
      </c>
      <c r="E177" s="276" t="s">
        <v>151</v>
      </c>
      <c r="F177" s="247" t="s">
        <v>175</v>
      </c>
      <c r="G177" s="277" t="s">
        <v>227</v>
      </c>
      <c r="H177" s="276" t="s">
        <v>228</v>
      </c>
      <c r="I177" s="277" t="s">
        <v>202</v>
      </c>
      <c r="J177" s="276" t="s">
        <v>203</v>
      </c>
      <c r="K177" s="280"/>
      <c r="L177" s="280"/>
      <c r="M177" s="278">
        <v>44</v>
      </c>
      <c r="N177" s="279">
        <v>76.5</v>
      </c>
      <c r="O177" s="281">
        <v>44</v>
      </c>
      <c r="P177" s="282">
        <v>76.5</v>
      </c>
      <c r="Q177" s="249">
        <v>0</v>
      </c>
      <c r="R177" s="283">
        <f t="shared" si="42"/>
        <v>0</v>
      </c>
      <c r="S177" s="283"/>
      <c r="T177" s="284"/>
      <c r="U177" s="284"/>
      <c r="V177" s="285"/>
      <c r="W177" s="284">
        <v>0.07</v>
      </c>
      <c r="X177" s="286">
        <f>ROUND(O177*W177,4)</f>
        <v>3.08</v>
      </c>
      <c r="Y177" s="287">
        <f>R177*(W177/4)</f>
        <v>0</v>
      </c>
      <c r="Z177" s="250">
        <v>724.28</v>
      </c>
      <c r="AA177" s="250">
        <f t="shared" si="34"/>
        <v>0</v>
      </c>
      <c r="AB177" s="251">
        <f t="shared" si="35"/>
        <v>0</v>
      </c>
      <c r="AC177" s="288">
        <f t="shared" si="36"/>
        <v>0</v>
      </c>
      <c r="AD177" s="151" t="b">
        <f t="shared" si="37"/>
        <v>1</v>
      </c>
    </row>
    <row r="178" spans="1:30" s="151" customFormat="1" ht="11.25">
      <c r="A178" s="243" t="s">
        <v>271</v>
      </c>
      <c r="B178" s="244"/>
      <c r="C178" s="276" t="s">
        <v>272</v>
      </c>
      <c r="D178" s="276" t="s">
        <v>150</v>
      </c>
      <c r="E178" s="276" t="s">
        <v>151</v>
      </c>
      <c r="F178" s="247" t="s">
        <v>190</v>
      </c>
      <c r="G178" s="277" t="s">
        <v>191</v>
      </c>
      <c r="H178" s="276" t="s">
        <v>192</v>
      </c>
      <c r="I178" s="277" t="s">
        <v>155</v>
      </c>
      <c r="J178" s="276" t="s">
        <v>156</v>
      </c>
      <c r="K178" s="278">
        <v>3600</v>
      </c>
      <c r="L178" s="279">
        <v>1798.9</v>
      </c>
      <c r="M178" s="278">
        <v>650</v>
      </c>
      <c r="N178" s="279">
        <v>315.26</v>
      </c>
      <c r="O178" s="281">
        <v>4250</v>
      </c>
      <c r="P178" s="282">
        <v>2114.16</v>
      </c>
      <c r="Q178" s="249">
        <v>0</v>
      </c>
      <c r="R178" s="283">
        <f t="shared" si="42"/>
        <v>0</v>
      </c>
      <c r="S178" s="283"/>
      <c r="T178" s="284"/>
      <c r="U178" s="284"/>
      <c r="V178" s="285"/>
      <c r="W178" s="284">
        <v>0.02</v>
      </c>
      <c r="X178" s="286">
        <f>ROUND(O178*W178,4)</f>
        <v>85</v>
      </c>
      <c r="Y178" s="287">
        <f>R178*(W178/4)</f>
        <v>0</v>
      </c>
      <c r="Z178" s="250">
        <v>724.28</v>
      </c>
      <c r="AA178" s="250">
        <f t="shared" si="34"/>
        <v>0</v>
      </c>
      <c r="AB178" s="251">
        <f t="shared" si="35"/>
        <v>0</v>
      </c>
      <c r="AC178" s="288">
        <f t="shared" si="36"/>
        <v>0</v>
      </c>
      <c r="AD178" s="151" t="b">
        <f t="shared" si="37"/>
        <v>1</v>
      </c>
    </row>
    <row r="179" spans="1:30" s="151" customFormat="1" ht="11.25">
      <c r="A179" s="243" t="s">
        <v>271</v>
      </c>
      <c r="B179" s="244"/>
      <c r="C179" s="276" t="s">
        <v>272</v>
      </c>
      <c r="D179" s="276" t="s">
        <v>150</v>
      </c>
      <c r="E179" s="276" t="s">
        <v>151</v>
      </c>
      <c r="F179" s="247" t="s">
        <v>231</v>
      </c>
      <c r="G179" s="277" t="s">
        <v>232</v>
      </c>
      <c r="H179" s="276" t="s">
        <v>233</v>
      </c>
      <c r="I179" s="277" t="s">
        <v>155</v>
      </c>
      <c r="J179" s="276" t="s">
        <v>156</v>
      </c>
      <c r="K179" s="278">
        <v>1000</v>
      </c>
      <c r="L179" s="279">
        <v>803.68</v>
      </c>
      <c r="M179" s="278">
        <v>650</v>
      </c>
      <c r="N179" s="279">
        <v>509.44</v>
      </c>
      <c r="O179" s="281">
        <v>1650</v>
      </c>
      <c r="P179" s="282">
        <v>1313.12</v>
      </c>
      <c r="Q179" s="249">
        <v>0</v>
      </c>
      <c r="R179" s="283">
        <f t="shared" si="42"/>
        <v>0</v>
      </c>
      <c r="S179" s="283"/>
      <c r="T179" s="284"/>
      <c r="U179" s="284"/>
      <c r="V179" s="285"/>
      <c r="W179" s="284">
        <v>0.05</v>
      </c>
      <c r="X179" s="286">
        <f>ROUND(O179*W179,4)</f>
        <v>82.5</v>
      </c>
      <c r="Y179" s="287">
        <f>R179*(W179/4)</f>
        <v>0</v>
      </c>
      <c r="Z179" s="250">
        <v>724.28</v>
      </c>
      <c r="AA179" s="250">
        <f t="shared" si="34"/>
        <v>0</v>
      </c>
      <c r="AB179" s="251">
        <f t="shared" si="35"/>
        <v>0</v>
      </c>
      <c r="AC179" s="288">
        <f t="shared" si="36"/>
        <v>0</v>
      </c>
      <c r="AD179" s="151" t="b">
        <f t="shared" si="37"/>
        <v>1</v>
      </c>
    </row>
    <row r="180" spans="1:30" s="151" customFormat="1" ht="11.25">
      <c r="A180" s="243" t="s">
        <v>271</v>
      </c>
      <c r="B180" s="275"/>
      <c r="C180" s="276" t="s">
        <v>272</v>
      </c>
      <c r="D180" s="276" t="s">
        <v>150</v>
      </c>
      <c r="E180" s="276" t="s">
        <v>151</v>
      </c>
      <c r="F180" s="247" t="s">
        <v>172</v>
      </c>
      <c r="G180" s="277" t="s">
        <v>255</v>
      </c>
      <c r="H180" s="276" t="s">
        <v>256</v>
      </c>
      <c r="I180" s="277" t="s">
        <v>155</v>
      </c>
      <c r="J180" s="276" t="s">
        <v>156</v>
      </c>
      <c r="K180" s="280"/>
      <c r="L180" s="280"/>
      <c r="M180" s="278">
        <v>83</v>
      </c>
      <c r="N180" s="279">
        <v>138.08</v>
      </c>
      <c r="O180" s="281">
        <v>83</v>
      </c>
      <c r="P180" s="282">
        <v>138.08</v>
      </c>
      <c r="Q180" s="249">
        <v>0</v>
      </c>
      <c r="R180" s="283">
        <f t="shared" si="42"/>
        <v>0</v>
      </c>
      <c r="S180" s="283"/>
      <c r="T180" s="284">
        <v>69</v>
      </c>
      <c r="U180" s="284">
        <f>ROUND(O180/T180,0)</f>
        <v>1</v>
      </c>
      <c r="V180" s="285">
        <f>ROUND(R180/T180,0)</f>
        <v>0</v>
      </c>
      <c r="W180" s="284">
        <v>1.5</v>
      </c>
      <c r="X180" s="286">
        <f>ROUND(U180*W180,4)</f>
        <v>1.5</v>
      </c>
      <c r="Y180" s="287">
        <f>V180*W180/4</f>
        <v>0</v>
      </c>
      <c r="Z180" s="250">
        <v>724.28</v>
      </c>
      <c r="AA180" s="250">
        <f t="shared" si="34"/>
        <v>0</v>
      </c>
      <c r="AB180" s="251">
        <f t="shared" si="35"/>
        <v>0</v>
      </c>
      <c r="AC180" s="288">
        <f t="shared" si="36"/>
        <v>0</v>
      </c>
      <c r="AD180" s="151" t="b">
        <f t="shared" si="37"/>
        <v>1</v>
      </c>
    </row>
    <row r="181" spans="1:30" s="151" customFormat="1" ht="11.25">
      <c r="A181" s="243" t="s">
        <v>271</v>
      </c>
      <c r="B181" s="275"/>
      <c r="C181" s="276" t="s">
        <v>272</v>
      </c>
      <c r="D181" s="276" t="s">
        <v>150</v>
      </c>
      <c r="E181" s="276" t="s">
        <v>151</v>
      </c>
      <c r="F181" s="247" t="s">
        <v>172</v>
      </c>
      <c r="G181" s="277" t="s">
        <v>200</v>
      </c>
      <c r="H181" s="276" t="s">
        <v>201</v>
      </c>
      <c r="I181" s="277" t="s">
        <v>202</v>
      </c>
      <c r="J181" s="276" t="s">
        <v>203</v>
      </c>
      <c r="K181" s="280"/>
      <c r="L181" s="280"/>
      <c r="M181" s="292">
        <v>0</v>
      </c>
      <c r="N181" s="294">
        <v>0</v>
      </c>
      <c r="O181" s="293">
        <v>0</v>
      </c>
      <c r="P181" s="295">
        <v>0</v>
      </c>
      <c r="Q181" s="249">
        <v>0</v>
      </c>
      <c r="R181" s="283">
        <f t="shared" si="42"/>
        <v>0</v>
      </c>
      <c r="S181" s="283"/>
      <c r="T181" s="284">
        <v>69</v>
      </c>
      <c r="U181" s="284">
        <f>ROUND(O181/T181,0)</f>
        <v>0</v>
      </c>
      <c r="V181" s="285">
        <f>ROUND(R181/T181,0)</f>
        <v>0</v>
      </c>
      <c r="W181" s="284">
        <v>1.5</v>
      </c>
      <c r="X181" s="286">
        <f>ROUND(ROUND(O181/T181,0)*W181,4)</f>
        <v>0</v>
      </c>
      <c r="Y181" s="287">
        <f>V181*W181/4</f>
        <v>0</v>
      </c>
      <c r="Z181" s="250">
        <v>724.28</v>
      </c>
      <c r="AA181" s="250">
        <f t="shared" si="34"/>
        <v>0</v>
      </c>
      <c r="AB181" s="251">
        <f t="shared" si="35"/>
        <v>0</v>
      </c>
      <c r="AC181" s="288">
        <f t="shared" si="36"/>
        <v>0</v>
      </c>
      <c r="AD181" s="151" t="b">
        <f t="shared" si="37"/>
        <v>1</v>
      </c>
    </row>
    <row r="182" spans="1:30" s="151" customFormat="1" ht="11.25">
      <c r="A182" s="243" t="s">
        <v>271</v>
      </c>
      <c r="B182" s="275"/>
      <c r="C182" s="276" t="s">
        <v>272</v>
      </c>
      <c r="D182" s="276" t="s">
        <v>150</v>
      </c>
      <c r="E182" s="276" t="s">
        <v>151</v>
      </c>
      <c r="F182" s="247" t="s">
        <v>172</v>
      </c>
      <c r="G182" s="277" t="s">
        <v>257</v>
      </c>
      <c r="H182" s="276" t="s">
        <v>258</v>
      </c>
      <c r="I182" s="277" t="s">
        <v>202</v>
      </c>
      <c r="J182" s="276" t="s">
        <v>203</v>
      </c>
      <c r="K182" s="280"/>
      <c r="L182" s="280"/>
      <c r="M182" s="292">
        <v>0</v>
      </c>
      <c r="N182" s="294">
        <v>0</v>
      </c>
      <c r="O182" s="293">
        <v>0</v>
      </c>
      <c r="P182" s="295">
        <v>0</v>
      </c>
      <c r="Q182" s="249">
        <v>0</v>
      </c>
      <c r="R182" s="283">
        <f t="shared" si="42"/>
        <v>0</v>
      </c>
      <c r="S182" s="283"/>
      <c r="T182" s="284">
        <v>69</v>
      </c>
      <c r="U182" s="284">
        <f>ROUND(O182/T182,0)</f>
        <v>0</v>
      </c>
      <c r="V182" s="285">
        <f>ROUND(R182/T182,0)</f>
        <v>0</v>
      </c>
      <c r="W182" s="284">
        <v>1.5</v>
      </c>
      <c r="X182" s="286">
        <f>ROUND(ROUND(O182/T182,0)*W182,4)</f>
        <v>0</v>
      </c>
      <c r="Y182" s="287">
        <f>V182*W182/4</f>
        <v>0</v>
      </c>
      <c r="Z182" s="250">
        <v>724.28</v>
      </c>
      <c r="AA182" s="250">
        <f t="shared" si="34"/>
        <v>0</v>
      </c>
      <c r="AB182" s="251">
        <f t="shared" si="35"/>
        <v>0</v>
      </c>
      <c r="AC182" s="288">
        <f t="shared" si="36"/>
        <v>0</v>
      </c>
      <c r="AD182" s="151" t="b">
        <f t="shared" si="37"/>
        <v>1</v>
      </c>
    </row>
    <row r="183" spans="1:30" s="151" customFormat="1" ht="11.25">
      <c r="A183" s="243" t="s">
        <v>271</v>
      </c>
      <c r="B183" s="244"/>
      <c r="C183" s="276" t="s">
        <v>272</v>
      </c>
      <c r="D183" s="276" t="s">
        <v>204</v>
      </c>
      <c r="E183" s="276" t="s">
        <v>205</v>
      </c>
      <c r="F183" s="276"/>
      <c r="G183" s="277" t="s">
        <v>210</v>
      </c>
      <c r="H183" s="276" t="s">
        <v>211</v>
      </c>
      <c r="I183" s="277" t="s">
        <v>208</v>
      </c>
      <c r="J183" s="276" t="s">
        <v>209</v>
      </c>
      <c r="K183" s="280"/>
      <c r="L183" s="280"/>
      <c r="M183" s="278">
        <v>350</v>
      </c>
      <c r="N183" s="279">
        <v>384.74</v>
      </c>
      <c r="O183" s="281">
        <v>350</v>
      </c>
      <c r="P183" s="282">
        <v>384.74</v>
      </c>
      <c r="Q183" s="246"/>
      <c r="R183" s="283">
        <v>0</v>
      </c>
      <c r="S183" s="283"/>
      <c r="T183" s="246"/>
      <c r="U183" s="246"/>
      <c r="V183" s="285"/>
      <c r="W183" s="246">
        <v>0.015</v>
      </c>
      <c r="X183" s="286">
        <f>ROUND(O183*W183,4)</f>
        <v>5.25</v>
      </c>
      <c r="Y183" s="287">
        <f>R183*(W183/4)</f>
        <v>0</v>
      </c>
      <c r="Z183" s="250">
        <v>724.28</v>
      </c>
      <c r="AA183" s="250">
        <f t="shared" si="34"/>
        <v>0</v>
      </c>
      <c r="AB183" s="251">
        <f t="shared" si="35"/>
        <v>0</v>
      </c>
      <c r="AC183" s="288">
        <f t="shared" si="36"/>
        <v>0</v>
      </c>
      <c r="AD183" s="151" t="b">
        <f t="shared" si="37"/>
        <v>1</v>
      </c>
    </row>
    <row r="184" spans="1:30" ht="11.25">
      <c r="A184" s="243" t="s">
        <v>273</v>
      </c>
      <c r="B184" s="275">
        <v>101047793</v>
      </c>
      <c r="C184" s="276" t="s">
        <v>274</v>
      </c>
      <c r="D184" s="276" t="s">
        <v>150</v>
      </c>
      <c r="E184" s="276" t="s">
        <v>151</v>
      </c>
      <c r="F184" s="247" t="s">
        <v>172</v>
      </c>
      <c r="G184" s="277" t="s">
        <v>173</v>
      </c>
      <c r="H184" s="276" t="s">
        <v>174</v>
      </c>
      <c r="I184" s="277" t="s">
        <v>155</v>
      </c>
      <c r="J184" s="276" t="s">
        <v>156</v>
      </c>
      <c r="K184" s="280"/>
      <c r="L184" s="280"/>
      <c r="M184" s="278">
        <v>600</v>
      </c>
      <c r="N184" s="279">
        <v>393.66</v>
      </c>
      <c r="O184" s="281">
        <v>600</v>
      </c>
      <c r="P184" s="282">
        <v>393.66</v>
      </c>
      <c r="Q184" s="249">
        <v>100</v>
      </c>
      <c r="R184" s="283">
        <f aca="true" t="shared" si="44" ref="R184:R196">ROUND(O184*Q184/100,0)</f>
        <v>600</v>
      </c>
      <c r="S184" s="283">
        <f aca="true" t="shared" si="45" ref="S184:S189">ROUND(P184*Q184/100,2)</f>
        <v>393.66</v>
      </c>
      <c r="T184" s="284">
        <v>102</v>
      </c>
      <c r="U184" s="284">
        <f>ROUND(O184/T184,0)</f>
        <v>6</v>
      </c>
      <c r="V184" s="285">
        <f>ROUND(R184/T184,0)</f>
        <v>6</v>
      </c>
      <c r="W184" s="284">
        <v>1.5</v>
      </c>
      <c r="X184" s="286">
        <f>ROUND(U184*W184,4)</f>
        <v>9</v>
      </c>
      <c r="Y184" s="287">
        <f>V184*W184/4</f>
        <v>2.25</v>
      </c>
      <c r="Z184" s="250">
        <v>724.28</v>
      </c>
      <c r="AA184" s="250">
        <f t="shared" si="34"/>
        <v>1629.63</v>
      </c>
      <c r="AB184" s="251">
        <f t="shared" si="35"/>
        <v>1303.7</v>
      </c>
      <c r="AC184" s="288">
        <f t="shared" si="36"/>
        <v>325.93</v>
      </c>
      <c r="AD184" s="151" t="b">
        <f t="shared" si="37"/>
        <v>1</v>
      </c>
    </row>
    <row r="185" spans="1:30" s="151" customFormat="1" ht="11.25">
      <c r="A185" s="243" t="s">
        <v>273</v>
      </c>
      <c r="B185" s="275">
        <v>101047792</v>
      </c>
      <c r="C185" s="276" t="s">
        <v>274</v>
      </c>
      <c r="D185" s="276" t="s">
        <v>150</v>
      </c>
      <c r="E185" s="276" t="s">
        <v>151</v>
      </c>
      <c r="F185" s="247" t="s">
        <v>175</v>
      </c>
      <c r="G185" s="277" t="s">
        <v>182</v>
      </c>
      <c r="H185" s="276" t="s">
        <v>183</v>
      </c>
      <c r="I185" s="277" t="s">
        <v>155</v>
      </c>
      <c r="J185" s="276" t="s">
        <v>156</v>
      </c>
      <c r="K185" s="278">
        <v>500</v>
      </c>
      <c r="L185" s="279">
        <v>401.08</v>
      </c>
      <c r="M185" s="278">
        <v>600</v>
      </c>
      <c r="N185" s="279">
        <v>481.04</v>
      </c>
      <c r="O185" s="281">
        <v>1100</v>
      </c>
      <c r="P185" s="282">
        <v>882.12</v>
      </c>
      <c r="Q185" s="249">
        <v>90</v>
      </c>
      <c r="R185" s="283">
        <f t="shared" si="44"/>
        <v>990</v>
      </c>
      <c r="S185" s="283">
        <f t="shared" si="45"/>
        <v>793.91</v>
      </c>
      <c r="T185" s="284"/>
      <c r="U185" s="284"/>
      <c r="V185" s="285"/>
      <c r="W185" s="284">
        <v>0.02</v>
      </c>
      <c r="X185" s="286">
        <f>ROUND(O185*W185,4)</f>
        <v>22</v>
      </c>
      <c r="Y185" s="287">
        <f>R185*(W185/4)</f>
        <v>4.95</v>
      </c>
      <c r="Z185" s="250">
        <v>724.28</v>
      </c>
      <c r="AA185" s="250">
        <f t="shared" si="34"/>
        <v>3585.19</v>
      </c>
      <c r="AB185" s="251">
        <f t="shared" si="35"/>
        <v>2868.15</v>
      </c>
      <c r="AC185" s="288">
        <f t="shared" si="36"/>
        <v>717.04</v>
      </c>
      <c r="AD185" s="151" t="b">
        <f t="shared" si="37"/>
        <v>1</v>
      </c>
    </row>
    <row r="186" spans="1:30" s="151" customFormat="1" ht="11.25">
      <c r="A186" s="243" t="s">
        <v>273</v>
      </c>
      <c r="B186" s="275">
        <v>101047792</v>
      </c>
      <c r="C186" s="276" t="s">
        <v>274</v>
      </c>
      <c r="D186" s="276" t="s">
        <v>150</v>
      </c>
      <c r="E186" s="276" t="s">
        <v>151</v>
      </c>
      <c r="F186" s="247" t="s">
        <v>175</v>
      </c>
      <c r="G186" s="277" t="s">
        <v>184</v>
      </c>
      <c r="H186" s="276" t="s">
        <v>185</v>
      </c>
      <c r="I186" s="277" t="s">
        <v>155</v>
      </c>
      <c r="J186" s="276" t="s">
        <v>156</v>
      </c>
      <c r="K186" s="278">
        <v>500</v>
      </c>
      <c r="L186" s="279">
        <v>256.48</v>
      </c>
      <c r="M186" s="278">
        <v>600</v>
      </c>
      <c r="N186" s="279">
        <v>307.78</v>
      </c>
      <c r="O186" s="281">
        <v>1100</v>
      </c>
      <c r="P186" s="282">
        <v>564.26</v>
      </c>
      <c r="Q186" s="291">
        <v>90</v>
      </c>
      <c r="R186" s="283">
        <f t="shared" si="44"/>
        <v>990</v>
      </c>
      <c r="S186" s="283">
        <f t="shared" si="45"/>
        <v>507.83</v>
      </c>
      <c r="T186" s="284"/>
      <c r="U186" s="284"/>
      <c r="V186" s="285"/>
      <c r="W186" s="284">
        <v>0.02</v>
      </c>
      <c r="X186" s="286">
        <f>ROUND(O186*W186,4)</f>
        <v>22</v>
      </c>
      <c r="Y186" s="287">
        <f>R186*(W186/4)</f>
        <v>4.95</v>
      </c>
      <c r="Z186" s="250">
        <v>724.28</v>
      </c>
      <c r="AA186" s="250">
        <f t="shared" si="34"/>
        <v>3585.19</v>
      </c>
      <c r="AB186" s="251">
        <f t="shared" si="35"/>
        <v>2868.15</v>
      </c>
      <c r="AC186" s="288">
        <f t="shared" si="36"/>
        <v>717.04</v>
      </c>
      <c r="AD186" s="151" t="b">
        <f t="shared" si="37"/>
        <v>1</v>
      </c>
    </row>
    <row r="187" spans="1:30" s="151" customFormat="1" ht="11.25">
      <c r="A187" s="243" t="s">
        <v>273</v>
      </c>
      <c r="B187" s="275">
        <v>101047792</v>
      </c>
      <c r="C187" s="276" t="s">
        <v>274</v>
      </c>
      <c r="D187" s="276" t="s">
        <v>150</v>
      </c>
      <c r="E187" s="276" t="s">
        <v>151</v>
      </c>
      <c r="F187" s="247" t="s">
        <v>175</v>
      </c>
      <c r="G187" s="277" t="s">
        <v>186</v>
      </c>
      <c r="H187" s="276" t="s">
        <v>187</v>
      </c>
      <c r="I187" s="277" t="s">
        <v>155</v>
      </c>
      <c r="J187" s="276" t="s">
        <v>156</v>
      </c>
      <c r="K187" s="278">
        <v>15315</v>
      </c>
      <c r="L187" s="279">
        <v>2170.56</v>
      </c>
      <c r="M187" s="278">
        <v>500</v>
      </c>
      <c r="N187" s="279">
        <v>71.81</v>
      </c>
      <c r="O187" s="281">
        <v>15815</v>
      </c>
      <c r="P187" s="282">
        <v>2242.37</v>
      </c>
      <c r="Q187" s="249">
        <v>75</v>
      </c>
      <c r="R187" s="283">
        <f t="shared" si="44"/>
        <v>11861</v>
      </c>
      <c r="S187" s="283">
        <f t="shared" si="45"/>
        <v>1681.78</v>
      </c>
      <c r="T187" s="284"/>
      <c r="U187" s="284"/>
      <c r="V187" s="285"/>
      <c r="W187" s="284">
        <v>0.05</v>
      </c>
      <c r="X187" s="286">
        <f>ROUND(O187*W187,4)</f>
        <v>790.75</v>
      </c>
      <c r="Y187" s="287">
        <f>R187*(W187/4)</f>
        <v>148.26250000000002</v>
      </c>
      <c r="Z187" s="250">
        <v>724.28</v>
      </c>
      <c r="AA187" s="250">
        <f t="shared" si="34"/>
        <v>107383.56</v>
      </c>
      <c r="AB187" s="251">
        <f t="shared" si="35"/>
        <v>85906.85</v>
      </c>
      <c r="AC187" s="288">
        <f t="shared" si="36"/>
        <v>21476.71</v>
      </c>
      <c r="AD187" s="151" t="b">
        <f t="shared" si="37"/>
        <v>1</v>
      </c>
    </row>
    <row r="188" spans="1:30" s="151" customFormat="1" ht="11.25">
      <c r="A188" s="243" t="s">
        <v>273</v>
      </c>
      <c r="B188" s="275">
        <v>101047792</v>
      </c>
      <c r="C188" s="276" t="s">
        <v>274</v>
      </c>
      <c r="D188" s="276" t="s">
        <v>150</v>
      </c>
      <c r="E188" s="276" t="s">
        <v>151</v>
      </c>
      <c r="F188" s="247" t="s">
        <v>152</v>
      </c>
      <c r="G188" s="277" t="s">
        <v>159</v>
      </c>
      <c r="H188" s="276" t="s">
        <v>160</v>
      </c>
      <c r="I188" s="277" t="s">
        <v>155</v>
      </c>
      <c r="J188" s="276" t="s">
        <v>156</v>
      </c>
      <c r="K188" s="280"/>
      <c r="L188" s="280"/>
      <c r="M188" s="278">
        <v>500</v>
      </c>
      <c r="N188" s="279">
        <v>369.63</v>
      </c>
      <c r="O188" s="281">
        <v>500</v>
      </c>
      <c r="P188" s="282">
        <v>369.63</v>
      </c>
      <c r="Q188" s="249">
        <v>75</v>
      </c>
      <c r="R188" s="283">
        <f t="shared" si="44"/>
        <v>375</v>
      </c>
      <c r="S188" s="283">
        <f t="shared" si="45"/>
        <v>277.22</v>
      </c>
      <c r="T188" s="284"/>
      <c r="U188" s="284"/>
      <c r="V188" s="285"/>
      <c r="W188" s="284">
        <v>0.05</v>
      </c>
      <c r="X188" s="286">
        <f>ROUND(O188*W188,4)</f>
        <v>25</v>
      </c>
      <c r="Y188" s="287">
        <f>R188*(W188/4)</f>
        <v>4.6875</v>
      </c>
      <c r="Z188" s="250">
        <v>724.28</v>
      </c>
      <c r="AA188" s="250">
        <f t="shared" si="34"/>
        <v>3395.06</v>
      </c>
      <c r="AB188" s="251">
        <f t="shared" si="35"/>
        <v>2716.05</v>
      </c>
      <c r="AC188" s="288">
        <f t="shared" si="36"/>
        <v>679.01</v>
      </c>
      <c r="AD188" s="151" t="b">
        <f t="shared" si="37"/>
        <v>1</v>
      </c>
    </row>
    <row r="189" spans="1:30" s="151" customFormat="1" ht="11.25">
      <c r="A189" s="243" t="s">
        <v>273</v>
      </c>
      <c r="B189" s="275">
        <v>101047793</v>
      </c>
      <c r="C189" s="276" t="s">
        <v>274</v>
      </c>
      <c r="D189" s="276" t="s">
        <v>150</v>
      </c>
      <c r="E189" s="276" t="s">
        <v>151</v>
      </c>
      <c r="F189" s="247" t="s">
        <v>172</v>
      </c>
      <c r="G189" s="277" t="s">
        <v>188</v>
      </c>
      <c r="H189" s="276" t="s">
        <v>189</v>
      </c>
      <c r="I189" s="277" t="s">
        <v>155</v>
      </c>
      <c r="J189" s="276" t="s">
        <v>156</v>
      </c>
      <c r="K189" s="278">
        <v>2000</v>
      </c>
      <c r="L189" s="279">
        <v>868.95</v>
      </c>
      <c r="M189" s="278">
        <v>-2000</v>
      </c>
      <c r="N189" s="279">
        <v>-868.95</v>
      </c>
      <c r="O189" s="293">
        <v>0</v>
      </c>
      <c r="P189" s="295">
        <v>0</v>
      </c>
      <c r="Q189" s="249">
        <v>60</v>
      </c>
      <c r="R189" s="283">
        <f t="shared" si="44"/>
        <v>0</v>
      </c>
      <c r="S189" s="283">
        <f t="shared" si="45"/>
        <v>0</v>
      </c>
      <c r="T189" s="284">
        <v>102</v>
      </c>
      <c r="U189" s="284">
        <f>ROUND(O189/T189,0)</f>
        <v>0</v>
      </c>
      <c r="V189" s="285">
        <f>ROUND(R189/T189,0)</f>
        <v>0</v>
      </c>
      <c r="W189" s="284">
        <v>1.5</v>
      </c>
      <c r="X189" s="286">
        <f>ROUND(ROUND(O189/T189,0)*W189,4)</f>
        <v>0</v>
      </c>
      <c r="Y189" s="287">
        <f>V189*W189/4</f>
        <v>0</v>
      </c>
      <c r="Z189" s="250">
        <v>724.28</v>
      </c>
      <c r="AA189" s="250">
        <f t="shared" si="34"/>
        <v>0</v>
      </c>
      <c r="AB189" s="251">
        <f t="shared" si="35"/>
        <v>0</v>
      </c>
      <c r="AC189" s="288">
        <f t="shared" si="36"/>
        <v>0</v>
      </c>
      <c r="AD189" s="151" t="b">
        <f t="shared" si="37"/>
        <v>1</v>
      </c>
    </row>
    <row r="190" spans="1:30" s="151" customFormat="1" ht="11.25">
      <c r="A190" s="243" t="s">
        <v>273</v>
      </c>
      <c r="B190" s="275"/>
      <c r="C190" s="276" t="s">
        <v>274</v>
      </c>
      <c r="D190" s="276" t="s">
        <v>150</v>
      </c>
      <c r="E190" s="276" t="s">
        <v>151</v>
      </c>
      <c r="F190" s="247" t="s">
        <v>152</v>
      </c>
      <c r="G190" s="277" t="s">
        <v>157</v>
      </c>
      <c r="H190" s="276" t="s">
        <v>158</v>
      </c>
      <c r="I190" s="277" t="s">
        <v>155</v>
      </c>
      <c r="J190" s="276" t="s">
        <v>156</v>
      </c>
      <c r="K190" s="280"/>
      <c r="L190" s="280"/>
      <c r="M190" s="278">
        <v>-683</v>
      </c>
      <c r="N190" s="279">
        <v>-296.13</v>
      </c>
      <c r="O190" s="281">
        <v>-683</v>
      </c>
      <c r="P190" s="282">
        <v>-296.13</v>
      </c>
      <c r="Q190" s="249">
        <v>0</v>
      </c>
      <c r="R190" s="283">
        <f t="shared" si="44"/>
        <v>0</v>
      </c>
      <c r="S190" s="283"/>
      <c r="T190" s="284"/>
      <c r="U190" s="284"/>
      <c r="V190" s="285"/>
      <c r="W190" s="284">
        <v>0.025</v>
      </c>
      <c r="X190" s="286">
        <v>0</v>
      </c>
      <c r="Y190" s="287">
        <f>R190*(W190/4)</f>
        <v>0</v>
      </c>
      <c r="Z190" s="250">
        <v>724.28</v>
      </c>
      <c r="AA190" s="250">
        <f t="shared" si="34"/>
        <v>0</v>
      </c>
      <c r="AB190" s="251">
        <f t="shared" si="35"/>
        <v>0</v>
      </c>
      <c r="AC190" s="288">
        <f t="shared" si="36"/>
        <v>0</v>
      </c>
      <c r="AD190" s="151" t="b">
        <f t="shared" si="37"/>
        <v>1</v>
      </c>
    </row>
    <row r="191" spans="1:30" s="151" customFormat="1" ht="11.25">
      <c r="A191" s="243" t="s">
        <v>273</v>
      </c>
      <c r="B191" s="244"/>
      <c r="C191" s="276" t="s">
        <v>274</v>
      </c>
      <c r="D191" s="276" t="s">
        <v>150</v>
      </c>
      <c r="E191" s="276" t="s">
        <v>151</v>
      </c>
      <c r="F191" s="247" t="s">
        <v>190</v>
      </c>
      <c r="G191" s="277" t="s">
        <v>191</v>
      </c>
      <c r="H191" s="276" t="s">
        <v>192</v>
      </c>
      <c r="I191" s="277" t="s">
        <v>155</v>
      </c>
      <c r="J191" s="276" t="s">
        <v>156</v>
      </c>
      <c r="K191" s="278">
        <v>1000</v>
      </c>
      <c r="L191" s="279">
        <v>499.69</v>
      </c>
      <c r="M191" s="278">
        <v>1000</v>
      </c>
      <c r="N191" s="279">
        <v>484.75</v>
      </c>
      <c r="O191" s="281">
        <v>2000</v>
      </c>
      <c r="P191" s="282">
        <v>984.44</v>
      </c>
      <c r="Q191" s="249">
        <v>0</v>
      </c>
      <c r="R191" s="283">
        <f t="shared" si="44"/>
        <v>0</v>
      </c>
      <c r="S191" s="283"/>
      <c r="T191" s="284"/>
      <c r="U191" s="284"/>
      <c r="V191" s="285"/>
      <c r="W191" s="284">
        <v>0.02</v>
      </c>
      <c r="X191" s="286">
        <f>ROUND(O191*W191,4)</f>
        <v>40</v>
      </c>
      <c r="Y191" s="287">
        <f>R191*(W191/4)</f>
        <v>0</v>
      </c>
      <c r="Z191" s="250">
        <v>724.28</v>
      </c>
      <c r="AA191" s="250">
        <f t="shared" si="34"/>
        <v>0</v>
      </c>
      <c r="AB191" s="251">
        <f t="shared" si="35"/>
        <v>0</v>
      </c>
      <c r="AC191" s="288">
        <f t="shared" si="36"/>
        <v>0</v>
      </c>
      <c r="AD191" s="151" t="b">
        <f t="shared" si="37"/>
        <v>1</v>
      </c>
    </row>
    <row r="192" spans="1:30" s="151" customFormat="1" ht="11.25">
      <c r="A192" s="243" t="s">
        <v>273</v>
      </c>
      <c r="B192" s="244"/>
      <c r="C192" s="276" t="s">
        <v>274</v>
      </c>
      <c r="D192" s="276" t="s">
        <v>150</v>
      </c>
      <c r="E192" s="276" t="s">
        <v>151</v>
      </c>
      <c r="F192" s="247" t="s">
        <v>231</v>
      </c>
      <c r="G192" s="277" t="s">
        <v>232</v>
      </c>
      <c r="H192" s="276" t="s">
        <v>233</v>
      </c>
      <c r="I192" s="277" t="s">
        <v>155</v>
      </c>
      <c r="J192" s="276" t="s">
        <v>156</v>
      </c>
      <c r="K192" s="280"/>
      <c r="L192" s="280"/>
      <c r="M192" s="278">
        <v>870</v>
      </c>
      <c r="N192" s="279">
        <v>685.03</v>
      </c>
      <c r="O192" s="281">
        <v>870</v>
      </c>
      <c r="P192" s="282">
        <v>685.03</v>
      </c>
      <c r="Q192" s="249">
        <v>0</v>
      </c>
      <c r="R192" s="283">
        <f t="shared" si="44"/>
        <v>0</v>
      </c>
      <c r="S192" s="283"/>
      <c r="T192" s="284"/>
      <c r="U192" s="284"/>
      <c r="V192" s="285"/>
      <c r="W192" s="284">
        <v>0.05</v>
      </c>
      <c r="X192" s="286">
        <f>ROUND(O192*W192,4)</f>
        <v>43.5</v>
      </c>
      <c r="Y192" s="287">
        <f>R192*(W192/4)</f>
        <v>0</v>
      </c>
      <c r="Z192" s="250">
        <v>724.28</v>
      </c>
      <c r="AA192" s="250">
        <f t="shared" si="34"/>
        <v>0</v>
      </c>
      <c r="AB192" s="251">
        <f t="shared" si="35"/>
        <v>0</v>
      </c>
      <c r="AC192" s="288">
        <f t="shared" si="36"/>
        <v>0</v>
      </c>
      <c r="AD192" s="151" t="b">
        <f t="shared" si="37"/>
        <v>1</v>
      </c>
    </row>
    <row r="193" spans="1:30" s="151" customFormat="1" ht="11.25">
      <c r="A193" s="243" t="s">
        <v>273</v>
      </c>
      <c r="B193" s="275"/>
      <c r="C193" s="276" t="s">
        <v>274</v>
      </c>
      <c r="D193" s="276" t="s">
        <v>150</v>
      </c>
      <c r="E193" s="276" t="s">
        <v>151</v>
      </c>
      <c r="F193" s="247" t="s">
        <v>172</v>
      </c>
      <c r="G193" s="277" t="s">
        <v>196</v>
      </c>
      <c r="H193" s="276" t="s">
        <v>197</v>
      </c>
      <c r="I193" s="277" t="s">
        <v>155</v>
      </c>
      <c r="J193" s="276" t="s">
        <v>156</v>
      </c>
      <c r="K193" s="278">
        <v>1200</v>
      </c>
      <c r="L193" s="279">
        <v>513.73</v>
      </c>
      <c r="M193" s="278">
        <v>-1200</v>
      </c>
      <c r="N193" s="279">
        <v>-513.73</v>
      </c>
      <c r="O193" s="293">
        <v>0</v>
      </c>
      <c r="P193" s="295">
        <v>0</v>
      </c>
      <c r="Q193" s="249">
        <v>0</v>
      </c>
      <c r="R193" s="283">
        <f t="shared" si="44"/>
        <v>0</v>
      </c>
      <c r="S193" s="283"/>
      <c r="T193" s="284">
        <v>102</v>
      </c>
      <c r="U193" s="284">
        <f>ROUND(O193/T193,0)</f>
        <v>0</v>
      </c>
      <c r="V193" s="285">
        <f>ROUND(R193/T193,0)</f>
        <v>0</v>
      </c>
      <c r="W193" s="284">
        <v>1.5</v>
      </c>
      <c r="X193" s="286">
        <f>ROUND(ROUND(O193/T193,0)*W193,4)</f>
        <v>0</v>
      </c>
      <c r="Y193" s="287">
        <f>V193*W193/4</f>
        <v>0</v>
      </c>
      <c r="Z193" s="250">
        <v>724.28</v>
      </c>
      <c r="AA193" s="250">
        <f t="shared" si="34"/>
        <v>0</v>
      </c>
      <c r="AB193" s="251">
        <f t="shared" si="35"/>
        <v>0</v>
      </c>
      <c r="AC193" s="288">
        <f t="shared" si="36"/>
        <v>0</v>
      </c>
      <c r="AD193" s="151" t="b">
        <f t="shared" si="37"/>
        <v>1</v>
      </c>
    </row>
    <row r="194" spans="1:30" s="151" customFormat="1" ht="11.25">
      <c r="A194" s="243" t="s">
        <v>273</v>
      </c>
      <c r="B194" s="275"/>
      <c r="C194" s="276" t="s">
        <v>274</v>
      </c>
      <c r="D194" s="276" t="s">
        <v>150</v>
      </c>
      <c r="E194" s="276" t="s">
        <v>151</v>
      </c>
      <c r="F194" s="247" t="s">
        <v>172</v>
      </c>
      <c r="G194" s="277" t="s">
        <v>178</v>
      </c>
      <c r="H194" s="276" t="s">
        <v>179</v>
      </c>
      <c r="I194" s="277" t="s">
        <v>155</v>
      </c>
      <c r="J194" s="276" t="s">
        <v>156</v>
      </c>
      <c r="K194" s="280"/>
      <c r="L194" s="280"/>
      <c r="M194" s="292">
        <v>0</v>
      </c>
      <c r="N194" s="294">
        <v>0</v>
      </c>
      <c r="O194" s="293">
        <v>0</v>
      </c>
      <c r="P194" s="295">
        <v>0</v>
      </c>
      <c r="Q194" s="249">
        <v>0</v>
      </c>
      <c r="R194" s="283">
        <f t="shared" si="44"/>
        <v>0</v>
      </c>
      <c r="S194" s="283"/>
      <c r="T194" s="284">
        <v>102</v>
      </c>
      <c r="U194" s="284">
        <f>ROUND(O194/T194,0)</f>
        <v>0</v>
      </c>
      <c r="V194" s="285">
        <f>ROUND(R194/T194,0)</f>
        <v>0</v>
      </c>
      <c r="W194" s="284">
        <v>1.5</v>
      </c>
      <c r="X194" s="286">
        <f>ROUND(ROUND(O194/T194,0)*W194,4)</f>
        <v>0</v>
      </c>
      <c r="Y194" s="287">
        <f>V194*W194/4</f>
        <v>0</v>
      </c>
      <c r="Z194" s="250">
        <v>724.28</v>
      </c>
      <c r="AA194" s="250">
        <f aca="true" t="shared" si="46" ref="AA194:AA214">ROUND(Y194*Z194,2)</f>
        <v>0</v>
      </c>
      <c r="AB194" s="251">
        <f aca="true" t="shared" si="47" ref="AB194:AB214">ROUND(AA194*0.8,2)</f>
        <v>0</v>
      </c>
      <c r="AC194" s="288">
        <f aca="true" t="shared" si="48" ref="AC194:AC214">ROUND(AA194*0.2,2)</f>
        <v>0</v>
      </c>
      <c r="AD194" s="151" t="b">
        <f aca="true" t="shared" si="49" ref="AD194:AD215">IF(AB194+AC194=AA194,TRUE,FALSE)</f>
        <v>1</v>
      </c>
    </row>
    <row r="195" spans="1:30" s="151" customFormat="1" ht="11.25">
      <c r="A195" s="243" t="s">
        <v>273</v>
      </c>
      <c r="B195" s="275"/>
      <c r="C195" s="276" t="s">
        <v>274</v>
      </c>
      <c r="D195" s="276" t="s">
        <v>150</v>
      </c>
      <c r="E195" s="276" t="s">
        <v>151</v>
      </c>
      <c r="F195" s="247" t="s">
        <v>172</v>
      </c>
      <c r="G195" s="277" t="s">
        <v>200</v>
      </c>
      <c r="H195" s="276" t="s">
        <v>201</v>
      </c>
      <c r="I195" s="277" t="s">
        <v>202</v>
      </c>
      <c r="J195" s="276" t="s">
        <v>203</v>
      </c>
      <c r="K195" s="280"/>
      <c r="L195" s="280"/>
      <c r="M195" s="292">
        <v>0</v>
      </c>
      <c r="N195" s="279">
        <v>-78.76</v>
      </c>
      <c r="O195" s="293">
        <v>0</v>
      </c>
      <c r="P195" s="282">
        <v>-78.76</v>
      </c>
      <c r="Q195" s="249">
        <v>0</v>
      </c>
      <c r="R195" s="283">
        <f t="shared" si="44"/>
        <v>0</v>
      </c>
      <c r="S195" s="283"/>
      <c r="T195" s="284">
        <v>102</v>
      </c>
      <c r="U195" s="284">
        <f>ROUND(O195/T195,0)</f>
        <v>0</v>
      </c>
      <c r="V195" s="285">
        <f>ROUND(R195/T195,0)</f>
        <v>0</v>
      </c>
      <c r="W195" s="284">
        <v>1.5</v>
      </c>
      <c r="X195" s="286">
        <f>ROUND(ROUND(O195/T195,0)*W195,4)</f>
        <v>0</v>
      </c>
      <c r="Y195" s="287">
        <f>V195*W195/4</f>
        <v>0</v>
      </c>
      <c r="Z195" s="250">
        <v>724.28</v>
      </c>
      <c r="AA195" s="250">
        <f t="shared" si="46"/>
        <v>0</v>
      </c>
      <c r="AB195" s="251">
        <f t="shared" si="47"/>
        <v>0</v>
      </c>
      <c r="AC195" s="288">
        <f t="shared" si="48"/>
        <v>0</v>
      </c>
      <c r="AD195" s="151" t="b">
        <f t="shared" si="49"/>
        <v>1</v>
      </c>
    </row>
    <row r="196" spans="1:30" s="151" customFormat="1" ht="11.25">
      <c r="A196" s="243" t="s">
        <v>273</v>
      </c>
      <c r="B196" s="275"/>
      <c r="C196" s="276" t="s">
        <v>274</v>
      </c>
      <c r="D196" s="276" t="s">
        <v>150</v>
      </c>
      <c r="E196" s="276" t="s">
        <v>151</v>
      </c>
      <c r="F196" s="247" t="s">
        <v>172</v>
      </c>
      <c r="G196" s="277" t="s">
        <v>257</v>
      </c>
      <c r="H196" s="276" t="s">
        <v>258</v>
      </c>
      <c r="I196" s="277" t="s">
        <v>202</v>
      </c>
      <c r="J196" s="276" t="s">
        <v>203</v>
      </c>
      <c r="K196" s="280"/>
      <c r="L196" s="280"/>
      <c r="M196" s="292">
        <v>0</v>
      </c>
      <c r="N196" s="279">
        <v>-102.59</v>
      </c>
      <c r="O196" s="293">
        <v>0</v>
      </c>
      <c r="P196" s="282">
        <v>-102.59</v>
      </c>
      <c r="Q196" s="249">
        <v>0</v>
      </c>
      <c r="R196" s="283">
        <f t="shared" si="44"/>
        <v>0</v>
      </c>
      <c r="S196" s="283"/>
      <c r="T196" s="284">
        <v>102</v>
      </c>
      <c r="U196" s="284">
        <f>ROUND(O196/T196,0)</f>
        <v>0</v>
      </c>
      <c r="V196" s="285">
        <f>ROUND(R196/T196,0)</f>
        <v>0</v>
      </c>
      <c r="W196" s="284">
        <v>1.5</v>
      </c>
      <c r="X196" s="286">
        <f>ROUND(ROUND(O196/T196,0)*W196,4)</f>
        <v>0</v>
      </c>
      <c r="Y196" s="287">
        <f>V196*W196/4</f>
        <v>0</v>
      </c>
      <c r="Z196" s="250">
        <v>724.28</v>
      </c>
      <c r="AA196" s="250">
        <f t="shared" si="46"/>
        <v>0</v>
      </c>
      <c r="AB196" s="251">
        <f t="shared" si="47"/>
        <v>0</v>
      </c>
      <c r="AC196" s="288">
        <f t="shared" si="48"/>
        <v>0</v>
      </c>
      <c r="AD196" s="151" t="b">
        <f t="shared" si="49"/>
        <v>1</v>
      </c>
    </row>
    <row r="197" spans="1:30" s="151" customFormat="1" ht="11.25">
      <c r="A197" s="243" t="s">
        <v>273</v>
      </c>
      <c r="B197" s="244"/>
      <c r="C197" s="276" t="s">
        <v>274</v>
      </c>
      <c r="D197" s="276" t="s">
        <v>204</v>
      </c>
      <c r="E197" s="276" t="s">
        <v>205</v>
      </c>
      <c r="F197" s="276"/>
      <c r="G197" s="277" t="s">
        <v>210</v>
      </c>
      <c r="H197" s="276" t="s">
        <v>211</v>
      </c>
      <c r="I197" s="277" t="s">
        <v>208</v>
      </c>
      <c r="J197" s="276" t="s">
        <v>209</v>
      </c>
      <c r="K197" s="280"/>
      <c r="L197" s="280"/>
      <c r="M197" s="278">
        <v>300</v>
      </c>
      <c r="N197" s="279">
        <v>329.78</v>
      </c>
      <c r="O197" s="281">
        <v>300</v>
      </c>
      <c r="P197" s="282">
        <v>329.78</v>
      </c>
      <c r="Q197" s="246"/>
      <c r="R197" s="283">
        <v>0</v>
      </c>
      <c r="S197" s="283"/>
      <c r="T197" s="246"/>
      <c r="U197" s="246"/>
      <c r="V197" s="285"/>
      <c r="W197" s="246">
        <v>0.015</v>
      </c>
      <c r="X197" s="286">
        <f>ROUND(O197*W197,4)</f>
        <v>4.5</v>
      </c>
      <c r="Y197" s="287">
        <f>R197*(W197/4)</f>
        <v>0</v>
      </c>
      <c r="Z197" s="250">
        <v>724.28</v>
      </c>
      <c r="AA197" s="250">
        <f t="shared" si="46"/>
        <v>0</v>
      </c>
      <c r="AB197" s="251">
        <f t="shared" si="47"/>
        <v>0</v>
      </c>
      <c r="AC197" s="288">
        <f t="shared" si="48"/>
        <v>0</v>
      </c>
      <c r="AD197" s="151" t="b">
        <f t="shared" si="49"/>
        <v>1</v>
      </c>
    </row>
    <row r="198" spans="1:30" ht="11.25">
      <c r="A198" s="243" t="s">
        <v>275</v>
      </c>
      <c r="B198" s="244"/>
      <c r="C198" s="276" t="s">
        <v>276</v>
      </c>
      <c r="D198" s="276" t="s">
        <v>150</v>
      </c>
      <c r="E198" s="276" t="s">
        <v>151</v>
      </c>
      <c r="F198" s="247" t="s">
        <v>175</v>
      </c>
      <c r="G198" s="277" t="s">
        <v>227</v>
      </c>
      <c r="H198" s="276" t="s">
        <v>228</v>
      </c>
      <c r="I198" s="277" t="s">
        <v>202</v>
      </c>
      <c r="J198" s="276" t="s">
        <v>203</v>
      </c>
      <c r="K198" s="280"/>
      <c r="L198" s="280"/>
      <c r="M198" s="278">
        <v>132</v>
      </c>
      <c r="N198" s="279">
        <v>229.63</v>
      </c>
      <c r="O198" s="281">
        <v>132</v>
      </c>
      <c r="P198" s="282">
        <v>229.63</v>
      </c>
      <c r="Q198" s="249">
        <v>0</v>
      </c>
      <c r="R198" s="283">
        <f>ROUND(O198*Q198/100,0)</f>
        <v>0</v>
      </c>
      <c r="S198" s="283"/>
      <c r="T198" s="284"/>
      <c r="U198" s="284"/>
      <c r="V198" s="285"/>
      <c r="W198" s="284">
        <v>0.07</v>
      </c>
      <c r="X198" s="286">
        <f>ROUND(O198*W198,4)</f>
        <v>9.24</v>
      </c>
      <c r="Y198" s="287">
        <f>R198*(W198/4)</f>
        <v>0</v>
      </c>
      <c r="Z198" s="250">
        <v>724.28</v>
      </c>
      <c r="AA198" s="250">
        <f t="shared" si="46"/>
        <v>0</v>
      </c>
      <c r="AB198" s="251">
        <f t="shared" si="47"/>
        <v>0</v>
      </c>
      <c r="AC198" s="288">
        <f t="shared" si="48"/>
        <v>0</v>
      </c>
      <c r="AD198" s="151" t="b">
        <f t="shared" si="49"/>
        <v>1</v>
      </c>
    </row>
    <row r="199" spans="1:30" ht="11.25">
      <c r="A199" s="243" t="s">
        <v>275</v>
      </c>
      <c r="B199" s="244"/>
      <c r="C199" s="276" t="s">
        <v>276</v>
      </c>
      <c r="D199" s="276" t="s">
        <v>150</v>
      </c>
      <c r="E199" s="276" t="s">
        <v>151</v>
      </c>
      <c r="F199" s="247" t="s">
        <v>224</v>
      </c>
      <c r="G199" s="277" t="s">
        <v>225</v>
      </c>
      <c r="H199" s="276" t="s">
        <v>226</v>
      </c>
      <c r="I199" s="277" t="s">
        <v>202</v>
      </c>
      <c r="J199" s="276" t="s">
        <v>203</v>
      </c>
      <c r="K199" s="280"/>
      <c r="L199" s="280"/>
      <c r="M199" s="278">
        <v>764</v>
      </c>
      <c r="N199" s="279">
        <v>299.95</v>
      </c>
      <c r="O199" s="281">
        <v>764</v>
      </c>
      <c r="P199" s="282">
        <v>299.95</v>
      </c>
      <c r="Q199" s="249">
        <v>0</v>
      </c>
      <c r="R199" s="283">
        <f>ROUND(O199*Q199/100,0)</f>
        <v>0</v>
      </c>
      <c r="S199" s="283"/>
      <c r="T199" s="284"/>
      <c r="U199" s="284"/>
      <c r="V199" s="285"/>
      <c r="W199" s="284">
        <v>0.2</v>
      </c>
      <c r="X199" s="286">
        <f>ROUND(O199*W199,4)</f>
        <v>152.8</v>
      </c>
      <c r="Y199" s="287">
        <f>R199*(W199/4)</f>
        <v>0</v>
      </c>
      <c r="Z199" s="250">
        <v>724.28</v>
      </c>
      <c r="AA199" s="250">
        <f t="shared" si="46"/>
        <v>0</v>
      </c>
      <c r="AB199" s="251">
        <f t="shared" si="47"/>
        <v>0</v>
      </c>
      <c r="AC199" s="288">
        <f t="shared" si="48"/>
        <v>0</v>
      </c>
      <c r="AD199" s="151" t="b">
        <f t="shared" si="49"/>
        <v>1</v>
      </c>
    </row>
    <row r="200" spans="1:30" ht="11.25">
      <c r="A200" s="243" t="s">
        <v>275</v>
      </c>
      <c r="B200" s="244"/>
      <c r="C200" s="276" t="s">
        <v>276</v>
      </c>
      <c r="D200" s="276" t="s">
        <v>150</v>
      </c>
      <c r="E200" s="276" t="s">
        <v>151</v>
      </c>
      <c r="F200" s="247" t="s">
        <v>172</v>
      </c>
      <c r="G200" s="277" t="s">
        <v>200</v>
      </c>
      <c r="H200" s="276" t="s">
        <v>201</v>
      </c>
      <c r="I200" s="277" t="s">
        <v>202</v>
      </c>
      <c r="J200" s="276" t="s">
        <v>203</v>
      </c>
      <c r="K200" s="280"/>
      <c r="L200" s="280"/>
      <c r="M200" s="278">
        <v>80</v>
      </c>
      <c r="N200" s="279">
        <v>114.28</v>
      </c>
      <c r="O200" s="281">
        <v>80</v>
      </c>
      <c r="P200" s="282">
        <v>114.28</v>
      </c>
      <c r="Q200" s="249">
        <v>0</v>
      </c>
      <c r="R200" s="283">
        <f>ROUND(O200*Q200/100,0)</f>
        <v>0</v>
      </c>
      <c r="S200" s="283"/>
      <c r="T200" s="284">
        <v>91</v>
      </c>
      <c r="U200" s="284">
        <f>ROUND(O200/T200,0)</f>
        <v>1</v>
      </c>
      <c r="V200" s="285">
        <f>ROUND(R200/T200,0)</f>
        <v>0</v>
      </c>
      <c r="W200" s="284">
        <v>1.5</v>
      </c>
      <c r="X200" s="286">
        <f>ROUND(ROUND(O200/T200,0)*W200,4)</f>
        <v>1.5</v>
      </c>
      <c r="Y200" s="287">
        <f>V200*W200/4</f>
        <v>0</v>
      </c>
      <c r="Z200" s="250">
        <v>724.28</v>
      </c>
      <c r="AA200" s="250">
        <f t="shared" si="46"/>
        <v>0</v>
      </c>
      <c r="AB200" s="251">
        <f t="shared" si="47"/>
        <v>0</v>
      </c>
      <c r="AC200" s="288">
        <f t="shared" si="48"/>
        <v>0</v>
      </c>
      <c r="AD200" s="151" t="b">
        <f t="shared" si="49"/>
        <v>1</v>
      </c>
    </row>
    <row r="201" spans="1:30" s="151" customFormat="1" ht="11.25">
      <c r="A201" s="243" t="s">
        <v>275</v>
      </c>
      <c r="B201" s="244"/>
      <c r="C201" s="276" t="s">
        <v>276</v>
      </c>
      <c r="D201" s="276" t="s">
        <v>150</v>
      </c>
      <c r="E201" s="276" t="s">
        <v>151</v>
      </c>
      <c r="F201" s="247" t="s">
        <v>172</v>
      </c>
      <c r="G201" s="277" t="s">
        <v>257</v>
      </c>
      <c r="H201" s="276" t="s">
        <v>258</v>
      </c>
      <c r="I201" s="277" t="s">
        <v>202</v>
      </c>
      <c r="J201" s="276" t="s">
        <v>203</v>
      </c>
      <c r="K201" s="280"/>
      <c r="L201" s="280"/>
      <c r="M201" s="278">
        <v>50</v>
      </c>
      <c r="N201" s="279">
        <v>117.07</v>
      </c>
      <c r="O201" s="281">
        <v>50</v>
      </c>
      <c r="P201" s="282">
        <v>117.07</v>
      </c>
      <c r="Q201" s="249">
        <v>0</v>
      </c>
      <c r="R201" s="283">
        <f>ROUND(O201*Q201/100,0)</f>
        <v>0</v>
      </c>
      <c r="S201" s="283"/>
      <c r="T201" s="284">
        <v>91</v>
      </c>
      <c r="U201" s="284">
        <f>ROUND(O201/T201,0)</f>
        <v>1</v>
      </c>
      <c r="V201" s="285">
        <f>ROUND(R201/T201,0)</f>
        <v>0</v>
      </c>
      <c r="W201" s="284">
        <v>1.5</v>
      </c>
      <c r="X201" s="286">
        <f>ROUND(ROUND(O201/T201,0)*W201,4)</f>
        <v>1.5</v>
      </c>
      <c r="Y201" s="287">
        <f>V201*W201/4</f>
        <v>0</v>
      </c>
      <c r="Z201" s="250">
        <v>724.28</v>
      </c>
      <c r="AA201" s="250">
        <f t="shared" si="46"/>
        <v>0</v>
      </c>
      <c r="AB201" s="251">
        <f t="shared" si="47"/>
        <v>0</v>
      </c>
      <c r="AC201" s="288">
        <f t="shared" si="48"/>
        <v>0</v>
      </c>
      <c r="AD201" s="151" t="b">
        <f t="shared" si="49"/>
        <v>1</v>
      </c>
    </row>
    <row r="202" spans="1:30" s="151" customFormat="1" ht="11.25">
      <c r="A202" s="243" t="s">
        <v>275</v>
      </c>
      <c r="B202" s="244"/>
      <c r="C202" s="276" t="s">
        <v>276</v>
      </c>
      <c r="D202" s="276" t="s">
        <v>150</v>
      </c>
      <c r="E202" s="276" t="s">
        <v>151</v>
      </c>
      <c r="F202" s="247" t="s">
        <v>172</v>
      </c>
      <c r="G202" s="277" t="s">
        <v>259</v>
      </c>
      <c r="H202" s="276" t="s">
        <v>260</v>
      </c>
      <c r="I202" s="277" t="s">
        <v>202</v>
      </c>
      <c r="J202" s="276" t="s">
        <v>203</v>
      </c>
      <c r="K202" s="280"/>
      <c r="L202" s="280"/>
      <c r="M202" s="278">
        <v>100</v>
      </c>
      <c r="N202" s="279">
        <v>316.55</v>
      </c>
      <c r="O202" s="281">
        <v>100</v>
      </c>
      <c r="P202" s="282">
        <v>316.55</v>
      </c>
      <c r="Q202" s="249">
        <v>0</v>
      </c>
      <c r="R202" s="283">
        <f>ROUND(O202*Q202/100,0)</f>
        <v>0</v>
      </c>
      <c r="S202" s="283"/>
      <c r="T202" s="284">
        <v>91</v>
      </c>
      <c r="U202" s="284">
        <f>ROUND(O202/T202,0)</f>
        <v>1</v>
      </c>
      <c r="V202" s="285">
        <f>ROUND(R202/T202,0)</f>
        <v>0</v>
      </c>
      <c r="W202" s="284">
        <v>1.5</v>
      </c>
      <c r="X202" s="286">
        <f>ROUND(ROUND(O202/T202,0)*W202,4)</f>
        <v>1.5</v>
      </c>
      <c r="Y202" s="287">
        <f>V202*W202/4</f>
        <v>0</v>
      </c>
      <c r="Z202" s="250">
        <v>724.28</v>
      </c>
      <c r="AA202" s="250">
        <f t="shared" si="46"/>
        <v>0</v>
      </c>
      <c r="AB202" s="251">
        <f t="shared" si="47"/>
        <v>0</v>
      </c>
      <c r="AC202" s="288">
        <f t="shared" si="48"/>
        <v>0</v>
      </c>
      <c r="AD202" s="151" t="b">
        <f t="shared" si="49"/>
        <v>1</v>
      </c>
    </row>
    <row r="203" spans="1:30" s="151" customFormat="1" ht="11.25">
      <c r="A203" s="243" t="s">
        <v>275</v>
      </c>
      <c r="B203" s="244"/>
      <c r="C203" s="276" t="s">
        <v>276</v>
      </c>
      <c r="D203" s="276" t="s">
        <v>204</v>
      </c>
      <c r="E203" s="276" t="s">
        <v>205</v>
      </c>
      <c r="F203" s="276"/>
      <c r="G203" s="277" t="s">
        <v>206</v>
      </c>
      <c r="H203" s="276" t="s">
        <v>207</v>
      </c>
      <c r="I203" s="277" t="s">
        <v>208</v>
      </c>
      <c r="J203" s="276" t="s">
        <v>209</v>
      </c>
      <c r="K203" s="280"/>
      <c r="L203" s="280"/>
      <c r="M203" s="278">
        <v>180</v>
      </c>
      <c r="N203" s="279">
        <v>68.14</v>
      </c>
      <c r="O203" s="281">
        <v>180</v>
      </c>
      <c r="P203" s="282">
        <v>68.14</v>
      </c>
      <c r="Q203" s="246"/>
      <c r="R203" s="283">
        <v>0</v>
      </c>
      <c r="S203" s="283"/>
      <c r="T203" s="246"/>
      <c r="U203" s="246"/>
      <c r="V203" s="285"/>
      <c r="W203" s="246">
        <v>0.01</v>
      </c>
      <c r="X203" s="286">
        <f>ROUND(O203*W203,4)</f>
        <v>1.8</v>
      </c>
      <c r="Y203" s="287">
        <f>R203*(W203/4)</f>
        <v>0</v>
      </c>
      <c r="Z203" s="250">
        <v>724.28</v>
      </c>
      <c r="AA203" s="250">
        <f t="shared" si="46"/>
        <v>0</v>
      </c>
      <c r="AB203" s="251">
        <f t="shared" si="47"/>
        <v>0</v>
      </c>
      <c r="AC203" s="288">
        <f t="shared" si="48"/>
        <v>0</v>
      </c>
      <c r="AD203" s="151" t="b">
        <f t="shared" si="49"/>
        <v>1</v>
      </c>
    </row>
    <row r="204" spans="1:30" s="151" customFormat="1" ht="11.25">
      <c r="A204" s="243" t="s">
        <v>275</v>
      </c>
      <c r="B204" s="244"/>
      <c r="C204" s="276" t="s">
        <v>276</v>
      </c>
      <c r="D204" s="276" t="s">
        <v>204</v>
      </c>
      <c r="E204" s="276" t="s">
        <v>205</v>
      </c>
      <c r="F204" s="276"/>
      <c r="G204" s="277" t="s">
        <v>239</v>
      </c>
      <c r="H204" s="276" t="s">
        <v>240</v>
      </c>
      <c r="I204" s="277" t="s">
        <v>208</v>
      </c>
      <c r="J204" s="276" t="s">
        <v>209</v>
      </c>
      <c r="K204" s="280"/>
      <c r="L204" s="280"/>
      <c r="M204" s="278">
        <v>380</v>
      </c>
      <c r="N204" s="279">
        <v>307.41</v>
      </c>
      <c r="O204" s="281">
        <v>380</v>
      </c>
      <c r="P204" s="282">
        <v>307.41</v>
      </c>
      <c r="Q204" s="246"/>
      <c r="R204" s="283">
        <v>0</v>
      </c>
      <c r="S204" s="283"/>
      <c r="T204" s="246"/>
      <c r="U204" s="246"/>
      <c r="V204" s="285"/>
      <c r="W204" s="246">
        <v>0.02</v>
      </c>
      <c r="X204" s="286">
        <f>ROUND(O204*W204,4)</f>
        <v>7.6</v>
      </c>
      <c r="Y204" s="287">
        <f>R204*(W204/4)</f>
        <v>0</v>
      </c>
      <c r="Z204" s="250">
        <v>724.28</v>
      </c>
      <c r="AA204" s="250">
        <f t="shared" si="46"/>
        <v>0</v>
      </c>
      <c r="AB204" s="251">
        <f t="shared" si="47"/>
        <v>0</v>
      </c>
      <c r="AC204" s="288">
        <f t="shared" si="48"/>
        <v>0</v>
      </c>
      <c r="AD204" s="151" t="b">
        <f t="shared" si="49"/>
        <v>1</v>
      </c>
    </row>
    <row r="205" spans="1:30" s="151" customFormat="1" ht="11.25">
      <c r="A205" s="243" t="s">
        <v>275</v>
      </c>
      <c r="B205" s="244"/>
      <c r="C205" s="276" t="s">
        <v>276</v>
      </c>
      <c r="D205" s="276" t="s">
        <v>204</v>
      </c>
      <c r="E205" s="276" t="s">
        <v>205</v>
      </c>
      <c r="F205" s="276"/>
      <c r="G205" s="277" t="s">
        <v>243</v>
      </c>
      <c r="H205" s="276" t="s">
        <v>244</v>
      </c>
      <c r="I205" s="277" t="s">
        <v>208</v>
      </c>
      <c r="J205" s="276" t="s">
        <v>209</v>
      </c>
      <c r="K205" s="280"/>
      <c r="L205" s="280"/>
      <c r="M205" s="278">
        <v>20</v>
      </c>
      <c r="N205" s="279">
        <v>53.45</v>
      </c>
      <c r="O205" s="281">
        <v>20</v>
      </c>
      <c r="P205" s="282">
        <v>53.45</v>
      </c>
      <c r="Q205" s="246"/>
      <c r="R205" s="283">
        <v>0</v>
      </c>
      <c r="S205" s="283"/>
      <c r="T205" s="246"/>
      <c r="U205" s="246"/>
      <c r="V205" s="285"/>
      <c r="W205" s="246">
        <v>0.025</v>
      </c>
      <c r="X205" s="286">
        <f>ROUND(O205*W205,4)</f>
        <v>0.5</v>
      </c>
      <c r="Y205" s="287">
        <f>R205*(W205/4)</f>
        <v>0</v>
      </c>
      <c r="Z205" s="250">
        <v>724.28</v>
      </c>
      <c r="AA205" s="250">
        <f t="shared" si="46"/>
        <v>0</v>
      </c>
      <c r="AB205" s="251">
        <f t="shared" si="47"/>
        <v>0</v>
      </c>
      <c r="AC205" s="288">
        <f t="shared" si="48"/>
        <v>0</v>
      </c>
      <c r="AD205" s="151" t="b">
        <f t="shared" si="49"/>
        <v>1</v>
      </c>
    </row>
    <row r="206" spans="1:30" ht="11.25">
      <c r="A206" s="243" t="s">
        <v>277</v>
      </c>
      <c r="B206" s="244"/>
      <c r="C206" s="276" t="s">
        <v>278</v>
      </c>
      <c r="D206" s="276" t="s">
        <v>150</v>
      </c>
      <c r="E206" s="276" t="s">
        <v>151</v>
      </c>
      <c r="F206" s="247" t="s">
        <v>236</v>
      </c>
      <c r="G206" s="277" t="s">
        <v>237</v>
      </c>
      <c r="H206" s="276" t="s">
        <v>238</v>
      </c>
      <c r="I206" s="277" t="s">
        <v>202</v>
      </c>
      <c r="J206" s="276" t="s">
        <v>203</v>
      </c>
      <c r="K206" s="280"/>
      <c r="L206" s="280"/>
      <c r="M206" s="278">
        <v>3726</v>
      </c>
      <c r="N206" s="279">
        <v>3097.58</v>
      </c>
      <c r="O206" s="281">
        <v>3726</v>
      </c>
      <c r="P206" s="282">
        <v>3097.58</v>
      </c>
      <c r="Q206" s="249">
        <v>0</v>
      </c>
      <c r="R206" s="283">
        <f>ROUND(O206*Q206/100,0)</f>
        <v>0</v>
      </c>
      <c r="S206" s="283"/>
      <c r="T206" s="284"/>
      <c r="U206" s="284"/>
      <c r="V206" s="285"/>
      <c r="W206" s="284">
        <v>0.015</v>
      </c>
      <c r="X206" s="286">
        <f>ROUND(O206*W206,4)</f>
        <v>55.89</v>
      </c>
      <c r="Y206" s="287">
        <f>R206*(W206/4)</f>
        <v>0</v>
      </c>
      <c r="Z206" s="250">
        <v>724.28</v>
      </c>
      <c r="AA206" s="250">
        <f t="shared" si="46"/>
        <v>0</v>
      </c>
      <c r="AB206" s="251">
        <f t="shared" si="47"/>
        <v>0</v>
      </c>
      <c r="AC206" s="288">
        <f t="shared" si="48"/>
        <v>0</v>
      </c>
      <c r="AD206" s="151" t="b">
        <f t="shared" si="49"/>
        <v>1</v>
      </c>
    </row>
    <row r="207" spans="1:30" ht="11.25">
      <c r="A207" s="243" t="s">
        <v>277</v>
      </c>
      <c r="B207" s="244"/>
      <c r="C207" s="276" t="s">
        <v>278</v>
      </c>
      <c r="D207" s="276" t="s">
        <v>150</v>
      </c>
      <c r="E207" s="276" t="s">
        <v>151</v>
      </c>
      <c r="F207" s="247" t="s">
        <v>172</v>
      </c>
      <c r="G207" s="277" t="s">
        <v>200</v>
      </c>
      <c r="H207" s="276" t="s">
        <v>201</v>
      </c>
      <c r="I207" s="277" t="s">
        <v>202</v>
      </c>
      <c r="J207" s="276" t="s">
        <v>203</v>
      </c>
      <c r="K207" s="280"/>
      <c r="L207" s="280"/>
      <c r="M207" s="278">
        <v>6143</v>
      </c>
      <c r="N207" s="279">
        <v>8712.45</v>
      </c>
      <c r="O207" s="281">
        <v>6143</v>
      </c>
      <c r="P207" s="282">
        <v>8712.45</v>
      </c>
      <c r="Q207" s="249">
        <v>0</v>
      </c>
      <c r="R207" s="283">
        <f>ROUND(O207*Q207/100,0)</f>
        <v>0</v>
      </c>
      <c r="S207" s="283"/>
      <c r="T207" s="284">
        <v>125</v>
      </c>
      <c r="U207" s="284">
        <f>ROUND(O207/T207,0)</f>
        <v>49</v>
      </c>
      <c r="V207" s="285">
        <f>ROUND(R207/T207,0)</f>
        <v>0</v>
      </c>
      <c r="W207" s="284">
        <v>1.5</v>
      </c>
      <c r="X207" s="286">
        <f>ROUND(ROUND(O207/T207,0)*W207,4)</f>
        <v>73.5</v>
      </c>
      <c r="Y207" s="287">
        <f>V207*W207/4</f>
        <v>0</v>
      </c>
      <c r="Z207" s="250">
        <v>724.28</v>
      </c>
      <c r="AA207" s="250">
        <f t="shared" si="46"/>
        <v>0</v>
      </c>
      <c r="AB207" s="251">
        <f t="shared" si="47"/>
        <v>0</v>
      </c>
      <c r="AC207" s="288">
        <f t="shared" si="48"/>
        <v>0</v>
      </c>
      <c r="AD207" s="151" t="b">
        <f t="shared" si="49"/>
        <v>1</v>
      </c>
    </row>
    <row r="208" spans="1:30" s="151" customFormat="1" ht="11.25">
      <c r="A208" s="243" t="s">
        <v>277</v>
      </c>
      <c r="B208" s="244"/>
      <c r="C208" s="276" t="s">
        <v>278</v>
      </c>
      <c r="D208" s="276" t="s">
        <v>150</v>
      </c>
      <c r="E208" s="276" t="s">
        <v>151</v>
      </c>
      <c r="F208" s="247" t="s">
        <v>172</v>
      </c>
      <c r="G208" s="277" t="s">
        <v>257</v>
      </c>
      <c r="H208" s="276" t="s">
        <v>258</v>
      </c>
      <c r="I208" s="277" t="s">
        <v>202</v>
      </c>
      <c r="J208" s="276" t="s">
        <v>203</v>
      </c>
      <c r="K208" s="280"/>
      <c r="L208" s="280"/>
      <c r="M208" s="278">
        <v>-3386</v>
      </c>
      <c r="N208" s="279">
        <v>-7893.37</v>
      </c>
      <c r="O208" s="281">
        <v>-3386</v>
      </c>
      <c r="P208" s="282">
        <v>-7893.37</v>
      </c>
      <c r="Q208" s="249">
        <v>0</v>
      </c>
      <c r="R208" s="283">
        <f>ROUND(O208*Q208/100,0)</f>
        <v>0</v>
      </c>
      <c r="S208" s="283"/>
      <c r="T208" s="284">
        <v>125</v>
      </c>
      <c r="U208" s="284"/>
      <c r="V208" s="285">
        <f>ROUND(R208/T208,0)</f>
        <v>0</v>
      </c>
      <c r="W208" s="284">
        <v>1.5</v>
      </c>
      <c r="X208" s="286">
        <v>0</v>
      </c>
      <c r="Y208" s="287">
        <f>V208*W208/4</f>
        <v>0</v>
      </c>
      <c r="Z208" s="250">
        <v>724.28</v>
      </c>
      <c r="AA208" s="250">
        <f t="shared" si="46"/>
        <v>0</v>
      </c>
      <c r="AB208" s="251">
        <f t="shared" si="47"/>
        <v>0</v>
      </c>
      <c r="AC208" s="288">
        <f t="shared" si="48"/>
        <v>0</v>
      </c>
      <c r="AD208" s="151" t="b">
        <f t="shared" si="49"/>
        <v>1</v>
      </c>
    </row>
    <row r="209" spans="1:30" s="151" customFormat="1" ht="11.25">
      <c r="A209" s="243" t="s">
        <v>277</v>
      </c>
      <c r="B209" s="244"/>
      <c r="C209" s="276" t="s">
        <v>278</v>
      </c>
      <c r="D209" s="276" t="s">
        <v>204</v>
      </c>
      <c r="E209" s="276" t="s">
        <v>205</v>
      </c>
      <c r="F209" s="276"/>
      <c r="G209" s="277" t="s">
        <v>206</v>
      </c>
      <c r="H209" s="276" t="s">
        <v>207</v>
      </c>
      <c r="I209" s="277" t="s">
        <v>208</v>
      </c>
      <c r="J209" s="276" t="s">
        <v>209</v>
      </c>
      <c r="K209" s="280"/>
      <c r="L209" s="280"/>
      <c r="M209" s="278">
        <v>360</v>
      </c>
      <c r="N209" s="279">
        <v>136.38</v>
      </c>
      <c r="O209" s="281">
        <v>360</v>
      </c>
      <c r="P209" s="282">
        <v>136.38</v>
      </c>
      <c r="Q209" s="246"/>
      <c r="R209" s="283">
        <v>0</v>
      </c>
      <c r="S209" s="283"/>
      <c r="T209" s="246"/>
      <c r="U209" s="246"/>
      <c r="V209" s="285"/>
      <c r="W209" s="246">
        <v>0.01</v>
      </c>
      <c r="X209" s="286">
        <f>ROUND(O209*W209,4)</f>
        <v>3.6</v>
      </c>
      <c r="Y209" s="287">
        <f>R209*(W209/4)</f>
        <v>0</v>
      </c>
      <c r="Z209" s="250">
        <v>724.28</v>
      </c>
      <c r="AA209" s="250">
        <f t="shared" si="46"/>
        <v>0</v>
      </c>
      <c r="AB209" s="251">
        <f t="shared" si="47"/>
        <v>0</v>
      </c>
      <c r="AC209" s="288">
        <f t="shared" si="48"/>
        <v>0</v>
      </c>
      <c r="AD209" s="151" t="b">
        <f t="shared" si="49"/>
        <v>1</v>
      </c>
    </row>
    <row r="210" spans="1:30" s="151" customFormat="1" ht="11.25">
      <c r="A210" s="243" t="s">
        <v>277</v>
      </c>
      <c r="B210" s="244"/>
      <c r="C210" s="276" t="s">
        <v>278</v>
      </c>
      <c r="D210" s="276" t="s">
        <v>204</v>
      </c>
      <c r="E210" s="276" t="s">
        <v>205</v>
      </c>
      <c r="F210" s="276"/>
      <c r="G210" s="277" t="s">
        <v>239</v>
      </c>
      <c r="H210" s="276" t="s">
        <v>240</v>
      </c>
      <c r="I210" s="277" t="s">
        <v>208</v>
      </c>
      <c r="J210" s="276" t="s">
        <v>209</v>
      </c>
      <c r="K210" s="280"/>
      <c r="L210" s="280"/>
      <c r="M210" s="278">
        <v>300</v>
      </c>
      <c r="N210" s="279">
        <v>243.5</v>
      </c>
      <c r="O210" s="281">
        <v>300</v>
      </c>
      <c r="P210" s="282">
        <v>243.5</v>
      </c>
      <c r="Q210" s="246"/>
      <c r="R210" s="283">
        <v>0</v>
      </c>
      <c r="S210" s="283"/>
      <c r="T210" s="246"/>
      <c r="U210" s="246"/>
      <c r="V210" s="285"/>
      <c r="W210" s="246">
        <v>0.02</v>
      </c>
      <c r="X210" s="286">
        <f>ROUND(O210*W210,4)</f>
        <v>6</v>
      </c>
      <c r="Y210" s="287">
        <f>R210*(W210/4)</f>
        <v>0</v>
      </c>
      <c r="Z210" s="250">
        <v>724.28</v>
      </c>
      <c r="AA210" s="250">
        <f t="shared" si="46"/>
        <v>0</v>
      </c>
      <c r="AB210" s="251">
        <f t="shared" si="47"/>
        <v>0</v>
      </c>
      <c r="AC210" s="288">
        <f t="shared" si="48"/>
        <v>0</v>
      </c>
      <c r="AD210" s="151" t="b">
        <f t="shared" si="49"/>
        <v>1</v>
      </c>
    </row>
    <row r="211" spans="1:30" s="151" customFormat="1" ht="11.25">
      <c r="A211" s="243" t="s">
        <v>279</v>
      </c>
      <c r="B211" s="244"/>
      <c r="C211" s="276" t="s">
        <v>272</v>
      </c>
      <c r="D211" s="276" t="s">
        <v>150</v>
      </c>
      <c r="E211" s="276" t="s">
        <v>151</v>
      </c>
      <c r="F211" s="247" t="s">
        <v>172</v>
      </c>
      <c r="G211" s="277" t="s">
        <v>200</v>
      </c>
      <c r="H211" s="276" t="s">
        <v>201</v>
      </c>
      <c r="I211" s="277" t="s">
        <v>202</v>
      </c>
      <c r="J211" s="276" t="s">
        <v>203</v>
      </c>
      <c r="K211" s="280"/>
      <c r="L211" s="280"/>
      <c r="M211" s="278">
        <v>2000</v>
      </c>
      <c r="N211" s="279">
        <v>2834.34</v>
      </c>
      <c r="O211" s="281">
        <v>2000</v>
      </c>
      <c r="P211" s="282">
        <v>2834.34</v>
      </c>
      <c r="Q211" s="249">
        <v>0</v>
      </c>
      <c r="R211" s="283">
        <v>0</v>
      </c>
      <c r="S211" s="283"/>
      <c r="T211" s="284">
        <v>166</v>
      </c>
      <c r="U211" s="284">
        <f>ROUND(O211/T211,0)</f>
        <v>12</v>
      </c>
      <c r="V211" s="285">
        <f>ROUND(R211/T211,0)</f>
        <v>0</v>
      </c>
      <c r="W211" s="284">
        <v>1.5</v>
      </c>
      <c r="X211" s="286">
        <f>ROUND(ROUND(O211/T211,0)*W211,4)</f>
        <v>18</v>
      </c>
      <c r="Y211" s="287">
        <f>V211*W211/4</f>
        <v>0</v>
      </c>
      <c r="Z211" s="250">
        <v>724.28</v>
      </c>
      <c r="AA211" s="250">
        <f t="shared" si="46"/>
        <v>0</v>
      </c>
      <c r="AB211" s="251">
        <f t="shared" si="47"/>
        <v>0</v>
      </c>
      <c r="AC211" s="288">
        <f t="shared" si="48"/>
        <v>0</v>
      </c>
      <c r="AD211" s="151" t="b">
        <f t="shared" si="49"/>
        <v>1</v>
      </c>
    </row>
    <row r="212" spans="1:30" s="151" customFormat="1" ht="11.25">
      <c r="A212" s="243" t="s">
        <v>279</v>
      </c>
      <c r="B212" s="244"/>
      <c r="C212" s="276" t="s">
        <v>272</v>
      </c>
      <c r="D212" s="276" t="s">
        <v>150</v>
      </c>
      <c r="E212" s="276" t="s">
        <v>151</v>
      </c>
      <c r="F212" s="247" t="s">
        <v>172</v>
      </c>
      <c r="G212" s="277" t="s">
        <v>257</v>
      </c>
      <c r="H212" s="276" t="s">
        <v>258</v>
      </c>
      <c r="I212" s="277" t="s">
        <v>202</v>
      </c>
      <c r="J212" s="276" t="s">
        <v>203</v>
      </c>
      <c r="K212" s="280"/>
      <c r="L212" s="280"/>
      <c r="M212" s="278">
        <v>2000</v>
      </c>
      <c r="N212" s="279">
        <v>4647.73</v>
      </c>
      <c r="O212" s="281">
        <v>2000</v>
      </c>
      <c r="P212" s="282">
        <v>4647.73</v>
      </c>
      <c r="Q212" s="249">
        <v>0</v>
      </c>
      <c r="R212" s="283">
        <f>ROUND(O212*Q212/100,0)</f>
        <v>0</v>
      </c>
      <c r="S212" s="283"/>
      <c r="T212" s="284">
        <v>166</v>
      </c>
      <c r="U212" s="284">
        <f>ROUND(O212/T212,0)</f>
        <v>12</v>
      </c>
      <c r="V212" s="285">
        <f>ROUND(R212/T212,0)</f>
        <v>0</v>
      </c>
      <c r="W212" s="284">
        <v>1.5</v>
      </c>
      <c r="X212" s="286">
        <f>ROUND(ROUND(O212/T212,0)*W212,4)</f>
        <v>18</v>
      </c>
      <c r="Y212" s="287">
        <f>V212*W212/4</f>
        <v>0</v>
      </c>
      <c r="Z212" s="250">
        <v>724.28</v>
      </c>
      <c r="AA212" s="250">
        <f t="shared" si="46"/>
        <v>0</v>
      </c>
      <c r="AB212" s="251">
        <f t="shared" si="47"/>
        <v>0</v>
      </c>
      <c r="AC212" s="288">
        <f t="shared" si="48"/>
        <v>0</v>
      </c>
      <c r="AD212" s="151" t="b">
        <f t="shared" si="49"/>
        <v>1</v>
      </c>
    </row>
    <row r="213" spans="1:30" s="151" customFormat="1" ht="11.25">
      <c r="A213" s="243" t="s">
        <v>280</v>
      </c>
      <c r="B213" s="244"/>
      <c r="C213" s="276" t="s">
        <v>274</v>
      </c>
      <c r="D213" s="276" t="s">
        <v>150</v>
      </c>
      <c r="E213" s="276" t="s">
        <v>151</v>
      </c>
      <c r="F213" s="247" t="s">
        <v>172</v>
      </c>
      <c r="G213" s="277" t="s">
        <v>200</v>
      </c>
      <c r="H213" s="276" t="s">
        <v>201</v>
      </c>
      <c r="I213" s="277" t="s">
        <v>202</v>
      </c>
      <c r="J213" s="276" t="s">
        <v>203</v>
      </c>
      <c r="K213" s="280"/>
      <c r="L213" s="280"/>
      <c r="M213" s="278">
        <v>3564</v>
      </c>
      <c r="N213" s="279">
        <v>5091.14</v>
      </c>
      <c r="O213" s="281">
        <v>3564</v>
      </c>
      <c r="P213" s="282">
        <v>5091.14</v>
      </c>
      <c r="Q213" s="249">
        <v>0</v>
      </c>
      <c r="R213" s="283">
        <v>0</v>
      </c>
      <c r="S213" s="283"/>
      <c r="T213" s="284">
        <v>91</v>
      </c>
      <c r="U213" s="284">
        <f>ROUND(O213/T213,0)</f>
        <v>39</v>
      </c>
      <c r="V213" s="285">
        <f>ROUND(R213/T213,0)</f>
        <v>0</v>
      </c>
      <c r="W213" s="284">
        <v>1.5</v>
      </c>
      <c r="X213" s="286">
        <f>ROUND(ROUND(O213/T213,0)*W213,4)</f>
        <v>58.5</v>
      </c>
      <c r="Y213" s="287">
        <f>V213*W213/4</f>
        <v>0</v>
      </c>
      <c r="Z213" s="250">
        <v>724.28</v>
      </c>
      <c r="AA213" s="250">
        <f t="shared" si="46"/>
        <v>0</v>
      </c>
      <c r="AB213" s="251">
        <f t="shared" si="47"/>
        <v>0</v>
      </c>
      <c r="AC213" s="288">
        <f t="shared" si="48"/>
        <v>0</v>
      </c>
      <c r="AD213" s="151" t="b">
        <f t="shared" si="49"/>
        <v>1</v>
      </c>
    </row>
    <row r="214" spans="1:30" s="151" customFormat="1" ht="11.25">
      <c r="A214" s="253" t="s">
        <v>280</v>
      </c>
      <c r="B214" s="254"/>
      <c r="C214" s="296" t="s">
        <v>274</v>
      </c>
      <c r="D214" s="296" t="s">
        <v>150</v>
      </c>
      <c r="E214" s="296" t="s">
        <v>151</v>
      </c>
      <c r="F214" s="297" t="s">
        <v>172</v>
      </c>
      <c r="G214" s="298" t="s">
        <v>257</v>
      </c>
      <c r="H214" s="296" t="s">
        <v>258</v>
      </c>
      <c r="I214" s="298" t="s">
        <v>202</v>
      </c>
      <c r="J214" s="296" t="s">
        <v>203</v>
      </c>
      <c r="K214" s="299"/>
      <c r="L214" s="299"/>
      <c r="M214" s="300">
        <v>2500</v>
      </c>
      <c r="N214" s="301">
        <v>5853.71</v>
      </c>
      <c r="O214" s="302">
        <v>2500</v>
      </c>
      <c r="P214" s="303">
        <v>5853.71</v>
      </c>
      <c r="Q214" s="304">
        <v>0</v>
      </c>
      <c r="R214" s="305">
        <f>ROUND(O214*Q214/100,0)</f>
        <v>0</v>
      </c>
      <c r="S214" s="305"/>
      <c r="T214" s="306">
        <v>91</v>
      </c>
      <c r="U214" s="306">
        <f>ROUND(O214/T214,0)</f>
        <v>27</v>
      </c>
      <c r="V214" s="307">
        <f>ROUND(R214/T214,0)</f>
        <v>0</v>
      </c>
      <c r="W214" s="306">
        <v>1.5</v>
      </c>
      <c r="X214" s="308">
        <f>ROUND(ROUND(O214/T214,0)*W214,4)</f>
        <v>40.5</v>
      </c>
      <c r="Y214" s="309">
        <f>V214*W214/4</f>
        <v>0</v>
      </c>
      <c r="Z214" s="259">
        <v>724.28</v>
      </c>
      <c r="AA214" s="259">
        <f t="shared" si="46"/>
        <v>0</v>
      </c>
      <c r="AB214" s="260">
        <f t="shared" si="47"/>
        <v>0</v>
      </c>
      <c r="AC214" s="310">
        <f t="shared" si="48"/>
        <v>0</v>
      </c>
      <c r="AD214" s="151" t="b">
        <f t="shared" si="49"/>
        <v>1</v>
      </c>
    </row>
    <row r="215" spans="1:30" s="151" customFormat="1" ht="11.25">
      <c r="A215" s="152"/>
      <c r="B215" s="152"/>
      <c r="C215" s="156"/>
      <c r="G215" s="152"/>
      <c r="I215" s="152"/>
      <c r="N215" s="157" t="s">
        <v>281</v>
      </c>
      <c r="O215" s="158">
        <f>SUBTOTAL(9,O2:O214)</f>
        <v>708592</v>
      </c>
      <c r="P215" s="159">
        <f>SUBTOTAL(9,P2:P214)</f>
        <v>294417.51000000007</v>
      </c>
      <c r="Q215" s="160"/>
      <c r="V215" s="161">
        <f>SUM(V2:V214)</f>
        <v>1113</v>
      </c>
      <c r="X215" s="154"/>
      <c r="Y215" s="162">
        <f>SUM(Y2:Y214)</f>
        <v>4467.006249999999</v>
      </c>
      <c r="AA215" s="163">
        <f>SUM(AA2:AA214)</f>
        <v>3235363.3599999985</v>
      </c>
      <c r="AB215" s="153">
        <f>SUM(AB2:AB214)</f>
        <v>2588290.649999999</v>
      </c>
      <c r="AC215" s="153">
        <f>SUM(AC2:AC214)</f>
        <v>647072.7099999997</v>
      </c>
      <c r="AD215" s="151" t="b">
        <f t="shared" si="49"/>
        <v>1</v>
      </c>
    </row>
    <row r="217" spans="1:30" s="151" customFormat="1" ht="11.25">
      <c r="A217" s="222">
        <v>111010786</v>
      </c>
      <c r="B217" s="223"/>
      <c r="C217" s="224" t="s">
        <v>282</v>
      </c>
      <c r="D217" s="225" t="s">
        <v>150</v>
      </c>
      <c r="E217" s="225" t="s">
        <v>151</v>
      </c>
      <c r="F217" s="226" t="s">
        <v>283</v>
      </c>
      <c r="G217" s="227">
        <v>8309300</v>
      </c>
      <c r="H217" s="225" t="s">
        <v>165</v>
      </c>
      <c r="I217" s="228"/>
      <c r="J217" s="225"/>
      <c r="K217" s="229"/>
      <c r="L217" s="229"/>
      <c r="M217" s="230">
        <v>15130</v>
      </c>
      <c r="N217" s="231"/>
      <c r="O217" s="232">
        <v>15130</v>
      </c>
      <c r="P217" s="233"/>
      <c r="Q217" s="234">
        <v>100</v>
      </c>
      <c r="R217" s="235">
        <f>O217*Q217/100</f>
        <v>15130</v>
      </c>
      <c r="S217" s="235"/>
      <c r="T217" s="236"/>
      <c r="U217" s="236"/>
      <c r="V217" s="237"/>
      <c r="W217" s="236">
        <v>0.025</v>
      </c>
      <c r="X217" s="238">
        <f>ROUND(R217*W217,4)</f>
        <v>378.25</v>
      </c>
      <c r="Y217" s="239">
        <f>X217/4</f>
        <v>94.5625</v>
      </c>
      <c r="Z217" s="240">
        <v>963.96</v>
      </c>
      <c r="AA217" s="240">
        <f>ROUND(Y217*Z217,2)</f>
        <v>91154.47</v>
      </c>
      <c r="AB217" s="241">
        <f>ROUND(AA217*0.8,2)</f>
        <v>72923.58</v>
      </c>
      <c r="AC217" s="242">
        <f>ROUND(AA217*0.2,2)</f>
        <v>18230.89</v>
      </c>
      <c r="AD217" s="151" t="b">
        <f>IF(AB217+AC217=AA217,TRUE,FALSE)</f>
        <v>1</v>
      </c>
    </row>
    <row r="218" spans="1:29" ht="11.25">
      <c r="A218" s="243">
        <v>111010786</v>
      </c>
      <c r="B218" s="244"/>
      <c r="C218" s="245" t="s">
        <v>282</v>
      </c>
      <c r="D218" s="246"/>
      <c r="E218" s="246" t="s">
        <v>284</v>
      </c>
      <c r="F218" s="247" t="s">
        <v>283</v>
      </c>
      <c r="G218" s="248" t="s">
        <v>285</v>
      </c>
      <c r="H218" s="246"/>
      <c r="I218" s="248"/>
      <c r="J218" s="246"/>
      <c r="K218" s="246"/>
      <c r="L218" s="246"/>
      <c r="M218" s="246"/>
      <c r="N218" s="246"/>
      <c r="O218" s="246"/>
      <c r="P218" s="246"/>
      <c r="Q218" s="249"/>
      <c r="R218" s="246"/>
      <c r="S218" s="246"/>
      <c r="T218" s="246"/>
      <c r="U218" s="246"/>
      <c r="V218" s="246"/>
      <c r="W218" s="246"/>
      <c r="X218" s="246"/>
      <c r="Y218" s="246"/>
      <c r="Z218" s="246"/>
      <c r="AA218" s="250">
        <v>44980</v>
      </c>
      <c r="AB218" s="251">
        <f>ROUND(AA218*0.8,2)</f>
        <v>35984</v>
      </c>
      <c r="AC218" s="252">
        <f>ROUND(AA218*0.2,2)</f>
        <v>8996</v>
      </c>
    </row>
    <row r="219" spans="1:29" ht="11.25">
      <c r="A219" s="243">
        <v>101038865</v>
      </c>
      <c r="B219" s="244"/>
      <c r="C219" s="245" t="s">
        <v>286</v>
      </c>
      <c r="D219" s="246"/>
      <c r="E219" s="246"/>
      <c r="F219" s="246"/>
      <c r="G219" s="248"/>
      <c r="H219" s="246"/>
      <c r="I219" s="248"/>
      <c r="J219" s="246"/>
      <c r="K219" s="246"/>
      <c r="L219" s="246"/>
      <c r="M219" s="246"/>
      <c r="N219" s="246"/>
      <c r="O219" s="246"/>
      <c r="P219" s="246"/>
      <c r="Q219" s="249"/>
      <c r="R219" s="246"/>
      <c r="S219" s="246"/>
      <c r="T219" s="246"/>
      <c r="U219" s="246"/>
      <c r="V219" s="246"/>
      <c r="W219" s="246"/>
      <c r="X219" s="246"/>
      <c r="Y219" s="246"/>
      <c r="Z219" s="246"/>
      <c r="AA219" s="250">
        <v>116000</v>
      </c>
      <c r="AB219" s="251">
        <f>ROUND(AA219*0.8,2)</f>
        <v>92800</v>
      </c>
      <c r="AC219" s="252">
        <f>ROUND(AA219*0.2,2)</f>
        <v>23200</v>
      </c>
    </row>
    <row r="220" spans="1:29" ht="11.25">
      <c r="A220" s="243">
        <v>101038867</v>
      </c>
      <c r="B220" s="244"/>
      <c r="C220" s="245" t="s">
        <v>287</v>
      </c>
      <c r="D220" s="246"/>
      <c r="E220" s="246"/>
      <c r="F220" s="246"/>
      <c r="G220" s="248"/>
      <c r="H220" s="246"/>
      <c r="I220" s="248"/>
      <c r="J220" s="246"/>
      <c r="K220" s="246"/>
      <c r="L220" s="246"/>
      <c r="M220" s="246"/>
      <c r="N220" s="246"/>
      <c r="O220" s="246"/>
      <c r="P220" s="246"/>
      <c r="Q220" s="249"/>
      <c r="R220" s="246"/>
      <c r="S220" s="246"/>
      <c r="T220" s="246"/>
      <c r="U220" s="246"/>
      <c r="V220" s="246"/>
      <c r="W220" s="246"/>
      <c r="X220" s="246"/>
      <c r="Y220" s="246"/>
      <c r="Z220" s="246"/>
      <c r="AA220" s="250">
        <v>105280</v>
      </c>
      <c r="AB220" s="251">
        <f>ROUND(AA220*0.8,2)</f>
        <v>84224</v>
      </c>
      <c r="AC220" s="252">
        <f>ROUND(AA220*0.2,2)</f>
        <v>21056</v>
      </c>
    </row>
    <row r="221" spans="1:29" ht="11.25">
      <c r="A221" s="253">
        <v>111010665</v>
      </c>
      <c r="B221" s="254"/>
      <c r="C221" s="255" t="s">
        <v>288</v>
      </c>
      <c r="D221" s="256"/>
      <c r="E221" s="256"/>
      <c r="F221" s="256"/>
      <c r="G221" s="257"/>
      <c r="H221" s="256"/>
      <c r="I221" s="257"/>
      <c r="J221" s="256"/>
      <c r="K221" s="256"/>
      <c r="L221" s="256"/>
      <c r="M221" s="256"/>
      <c r="N221" s="256"/>
      <c r="O221" s="256"/>
      <c r="P221" s="256"/>
      <c r="Q221" s="258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9">
        <v>110720</v>
      </c>
      <c r="AB221" s="260">
        <f>ROUND(AA221*0.8,2)</f>
        <v>88576</v>
      </c>
      <c r="AC221" s="261">
        <f>ROUND(AA221*0.2,2)</f>
        <v>22144</v>
      </c>
    </row>
    <row r="222" spans="1:29" ht="11.25">
      <c r="A222" s="167" t="s">
        <v>289</v>
      </c>
      <c r="C222" s="166"/>
      <c r="AA222" s="163">
        <f>SUM(AA217:AA221)</f>
        <v>468134.47</v>
      </c>
      <c r="AB222" s="153">
        <f>SUM(AB217:AB221)</f>
        <v>374507.58</v>
      </c>
      <c r="AC222" s="153">
        <f>SUM(AC217:AC221)</f>
        <v>93626.89</v>
      </c>
    </row>
    <row r="224" spans="1:29" ht="11.25">
      <c r="A224" s="185">
        <v>571004798</v>
      </c>
      <c r="B224" s="186" t="s">
        <v>290</v>
      </c>
      <c r="C224" s="187" t="s">
        <v>291</v>
      </c>
      <c r="D224" s="188"/>
      <c r="E224" s="187" t="s">
        <v>292</v>
      </c>
      <c r="F224" s="188"/>
      <c r="G224" s="171">
        <v>5070500</v>
      </c>
      <c r="H224" s="187" t="s">
        <v>293</v>
      </c>
      <c r="I224" s="171">
        <v>5210</v>
      </c>
      <c r="J224" s="187" t="s">
        <v>293</v>
      </c>
      <c r="K224" s="189"/>
      <c r="L224" s="169"/>
      <c r="M224" s="190">
        <v>1</v>
      </c>
      <c r="N224" s="170">
        <v>8861.28</v>
      </c>
      <c r="O224" s="190">
        <v>1</v>
      </c>
      <c r="P224" s="191"/>
      <c r="Q224" s="192"/>
      <c r="R224" s="193"/>
      <c r="S224" s="193"/>
      <c r="T224" s="194"/>
      <c r="U224" s="188"/>
      <c r="V224" s="188"/>
      <c r="W224" s="188">
        <v>15</v>
      </c>
      <c r="X224" s="188">
        <f>ROUND(O224*W224,2)</f>
        <v>15</v>
      </c>
      <c r="Y224" s="188">
        <f>ROUND(W224/4,2)</f>
        <v>3.75</v>
      </c>
      <c r="Z224" s="172">
        <v>963.96</v>
      </c>
      <c r="AA224" s="172">
        <f>ROUND(Y224*Z224,2)</f>
        <v>3614.85</v>
      </c>
      <c r="AB224" s="173">
        <f aca="true" t="shared" si="50" ref="AB224:AB245">ROUND(AA224*0.8,6)</f>
        <v>2891.88</v>
      </c>
      <c r="AC224" s="174">
        <f aca="true" t="shared" si="51" ref="AC224:AC235">ROUND(AA224*0.2,6)</f>
        <v>722.97</v>
      </c>
    </row>
    <row r="225" spans="1:29" ht="11.25">
      <c r="A225" s="195">
        <v>593071756</v>
      </c>
      <c r="B225" s="196">
        <v>101047805</v>
      </c>
      <c r="C225" s="197" t="s">
        <v>266</v>
      </c>
      <c r="D225" s="175"/>
      <c r="E225" s="198" t="s">
        <v>294</v>
      </c>
      <c r="F225" s="175"/>
      <c r="G225" s="177">
        <v>6971500</v>
      </c>
      <c r="H225" s="198" t="s">
        <v>295</v>
      </c>
      <c r="I225" s="177">
        <v>5603</v>
      </c>
      <c r="J225" s="198" t="s">
        <v>296</v>
      </c>
      <c r="K225" s="199"/>
      <c r="L225" s="200"/>
      <c r="M225" s="201">
        <v>1</v>
      </c>
      <c r="N225" s="202">
        <v>88.67</v>
      </c>
      <c r="O225" s="201">
        <v>1</v>
      </c>
      <c r="P225" s="203"/>
      <c r="Q225" s="203"/>
      <c r="R225" s="203"/>
      <c r="S225" s="203"/>
      <c r="T225" s="204"/>
      <c r="U225" s="175"/>
      <c r="V225" s="175"/>
      <c r="W225" s="175"/>
      <c r="X225" s="175"/>
      <c r="Y225" s="175"/>
      <c r="Z225" s="178">
        <f>ROUND(114.82*1.0847,2)</f>
        <v>124.55</v>
      </c>
      <c r="AA225" s="178">
        <f>ROUND(114.82*1.0847*O225,2)</f>
        <v>124.55</v>
      </c>
      <c r="AB225" s="179">
        <f t="shared" si="50"/>
        <v>99.64</v>
      </c>
      <c r="AC225" s="180">
        <f t="shared" si="51"/>
        <v>24.91</v>
      </c>
    </row>
    <row r="226" spans="1:29" ht="11.25">
      <c r="A226" s="205">
        <v>593071754</v>
      </c>
      <c r="B226" s="196">
        <v>101047801</v>
      </c>
      <c r="C226" s="197" t="s">
        <v>252</v>
      </c>
      <c r="D226" s="175"/>
      <c r="E226" s="197" t="s">
        <v>297</v>
      </c>
      <c r="F226" s="175"/>
      <c r="G226" s="176">
        <v>5070200</v>
      </c>
      <c r="H226" s="197" t="s">
        <v>293</v>
      </c>
      <c r="I226" s="176">
        <v>5202</v>
      </c>
      <c r="J226" s="197" t="s">
        <v>293</v>
      </c>
      <c r="K226" s="199">
        <v>1</v>
      </c>
      <c r="L226" s="200">
        <v>3685.06</v>
      </c>
      <c r="M226" s="201">
        <v>0</v>
      </c>
      <c r="N226" s="175"/>
      <c r="O226" s="201">
        <v>1</v>
      </c>
      <c r="P226" s="175"/>
      <c r="Q226" s="175"/>
      <c r="R226" s="175"/>
      <c r="S226" s="175"/>
      <c r="T226" s="206"/>
      <c r="U226" s="175"/>
      <c r="V226" s="175"/>
      <c r="W226" s="175">
        <v>15</v>
      </c>
      <c r="X226" s="175">
        <f>W226*O226</f>
        <v>15</v>
      </c>
      <c r="Y226" s="175">
        <f>ROUND(W226/4,2)</f>
        <v>3.75</v>
      </c>
      <c r="Z226" s="178">
        <v>724.28</v>
      </c>
      <c r="AA226" s="178">
        <f>ROUND(Y226*Z226,2)</f>
        <v>2716.05</v>
      </c>
      <c r="AB226" s="179">
        <f t="shared" si="50"/>
        <v>2172.84</v>
      </c>
      <c r="AC226" s="180">
        <f t="shared" si="51"/>
        <v>543.21</v>
      </c>
    </row>
    <row r="227" spans="1:29" ht="11.25">
      <c r="A227" s="205">
        <v>593071754</v>
      </c>
      <c r="B227" s="196">
        <v>101047801</v>
      </c>
      <c r="C227" s="197" t="s">
        <v>252</v>
      </c>
      <c r="D227" s="175"/>
      <c r="E227" s="197" t="s">
        <v>292</v>
      </c>
      <c r="F227" s="175"/>
      <c r="G227" s="176">
        <v>5070500</v>
      </c>
      <c r="H227" s="197" t="s">
        <v>293</v>
      </c>
      <c r="I227" s="176">
        <v>5210</v>
      </c>
      <c r="J227" s="197" t="s">
        <v>293</v>
      </c>
      <c r="K227" s="199"/>
      <c r="L227" s="200"/>
      <c r="M227" s="201">
        <v>1</v>
      </c>
      <c r="N227" s="202">
        <v>8861.28</v>
      </c>
      <c r="O227" s="201">
        <v>1</v>
      </c>
      <c r="P227" s="175"/>
      <c r="Q227" s="175"/>
      <c r="R227" s="175"/>
      <c r="S227" s="175"/>
      <c r="T227" s="206"/>
      <c r="U227" s="175"/>
      <c r="V227" s="175"/>
      <c r="W227" s="175">
        <v>15</v>
      </c>
      <c r="X227" s="175">
        <f>W227*O227</f>
        <v>15</v>
      </c>
      <c r="Y227" s="175">
        <f>ROUND(W227/4,2)</f>
        <v>3.75</v>
      </c>
      <c r="Z227" s="178">
        <v>724.28</v>
      </c>
      <c r="AA227" s="178">
        <f>ROUND(Y227*Z227,2)</f>
        <v>2716.05</v>
      </c>
      <c r="AB227" s="179">
        <f t="shared" si="50"/>
        <v>2172.84</v>
      </c>
      <c r="AC227" s="180">
        <f t="shared" si="51"/>
        <v>543.21</v>
      </c>
    </row>
    <row r="228" spans="1:29" ht="11.25">
      <c r="A228" s="205" t="s">
        <v>216</v>
      </c>
      <c r="B228" s="196">
        <v>101047789</v>
      </c>
      <c r="C228" s="197" t="s">
        <v>217</v>
      </c>
      <c r="D228" s="175"/>
      <c r="E228" s="197" t="s">
        <v>294</v>
      </c>
      <c r="F228" s="175"/>
      <c r="G228" s="176">
        <v>6961800</v>
      </c>
      <c r="H228" s="197" t="s">
        <v>298</v>
      </c>
      <c r="I228" s="176">
        <v>5603</v>
      </c>
      <c r="J228" s="197" t="s">
        <v>296</v>
      </c>
      <c r="K228" s="199">
        <v>0</v>
      </c>
      <c r="L228" s="200">
        <v>0</v>
      </c>
      <c r="M228" s="201">
        <v>2</v>
      </c>
      <c r="N228" s="202">
        <f>101.19*2</f>
        <v>202.38</v>
      </c>
      <c r="O228" s="201">
        <v>2</v>
      </c>
      <c r="P228" s="175"/>
      <c r="Q228" s="175"/>
      <c r="R228" s="175"/>
      <c r="S228" s="175"/>
      <c r="T228" s="206"/>
      <c r="U228" s="175"/>
      <c r="V228" s="175"/>
      <c r="W228" s="175"/>
      <c r="X228" s="175"/>
      <c r="Y228" s="175"/>
      <c r="Z228" s="178">
        <v>124.55</v>
      </c>
      <c r="AA228" s="178">
        <f aca="true" t="shared" si="52" ref="AA228:AA233">ROUND(Z228*O228,2)</f>
        <v>249.1</v>
      </c>
      <c r="AB228" s="179">
        <f t="shared" si="50"/>
        <v>199.28</v>
      </c>
      <c r="AC228" s="180">
        <f t="shared" si="51"/>
        <v>49.82</v>
      </c>
    </row>
    <row r="229" spans="1:29" ht="11.25">
      <c r="A229" s="205" t="s">
        <v>216</v>
      </c>
      <c r="B229" s="196">
        <v>101047789</v>
      </c>
      <c r="C229" s="197" t="s">
        <v>217</v>
      </c>
      <c r="D229" s="175"/>
      <c r="E229" s="197" t="s">
        <v>294</v>
      </c>
      <c r="F229" s="175"/>
      <c r="G229" s="176">
        <v>6971000</v>
      </c>
      <c r="H229" s="197" t="s">
        <v>299</v>
      </c>
      <c r="I229" s="176">
        <v>5603</v>
      </c>
      <c r="J229" s="197" t="s">
        <v>296</v>
      </c>
      <c r="K229" s="199">
        <v>0</v>
      </c>
      <c r="L229" s="200">
        <v>0</v>
      </c>
      <c r="M229" s="201">
        <v>12</v>
      </c>
      <c r="N229" s="202">
        <v>767.18</v>
      </c>
      <c r="O229" s="201">
        <v>12</v>
      </c>
      <c r="P229" s="175"/>
      <c r="Q229" s="175"/>
      <c r="R229" s="175"/>
      <c r="S229" s="175"/>
      <c r="T229" s="206"/>
      <c r="U229" s="175"/>
      <c r="V229" s="175"/>
      <c r="W229" s="175"/>
      <c r="X229" s="175"/>
      <c r="Y229" s="175"/>
      <c r="Z229" s="178">
        <v>124.55</v>
      </c>
      <c r="AA229" s="178">
        <f t="shared" si="52"/>
        <v>1494.6</v>
      </c>
      <c r="AB229" s="179">
        <f t="shared" si="50"/>
        <v>1195.68</v>
      </c>
      <c r="AC229" s="180">
        <f t="shared" si="51"/>
        <v>298.92</v>
      </c>
    </row>
    <row r="230" spans="1:29" ht="11.25">
      <c r="A230" s="205" t="s">
        <v>216</v>
      </c>
      <c r="B230" s="196">
        <v>101047789</v>
      </c>
      <c r="C230" s="197" t="s">
        <v>217</v>
      </c>
      <c r="D230" s="175"/>
      <c r="E230" s="197" t="s">
        <v>294</v>
      </c>
      <c r="F230" s="175"/>
      <c r="G230" s="176">
        <v>6971100</v>
      </c>
      <c r="H230" s="197" t="s">
        <v>300</v>
      </c>
      <c r="I230" s="176">
        <v>5603</v>
      </c>
      <c r="J230" s="197" t="s">
        <v>296</v>
      </c>
      <c r="K230" s="199"/>
      <c r="L230" s="200"/>
      <c r="M230" s="201">
        <v>13</v>
      </c>
      <c r="N230" s="202">
        <v>820.26</v>
      </c>
      <c r="O230" s="201">
        <v>13</v>
      </c>
      <c r="P230" s="175"/>
      <c r="Q230" s="175"/>
      <c r="R230" s="175"/>
      <c r="S230" s="175"/>
      <c r="T230" s="206"/>
      <c r="U230" s="175"/>
      <c r="V230" s="175"/>
      <c r="W230" s="175"/>
      <c r="X230" s="175"/>
      <c r="Y230" s="175"/>
      <c r="Z230" s="178">
        <v>124.55</v>
      </c>
      <c r="AA230" s="178">
        <f t="shared" si="52"/>
        <v>1619.15</v>
      </c>
      <c r="AB230" s="179">
        <f t="shared" si="50"/>
        <v>1295.32</v>
      </c>
      <c r="AC230" s="180">
        <f t="shared" si="51"/>
        <v>323.83</v>
      </c>
    </row>
    <row r="231" spans="1:29" ht="11.25">
      <c r="A231" s="205" t="s">
        <v>216</v>
      </c>
      <c r="B231" s="196">
        <v>101047789</v>
      </c>
      <c r="C231" s="197" t="s">
        <v>217</v>
      </c>
      <c r="D231" s="175"/>
      <c r="E231" s="197" t="s">
        <v>294</v>
      </c>
      <c r="F231" s="175"/>
      <c r="G231" s="176">
        <v>6971200</v>
      </c>
      <c r="H231" s="197" t="s">
        <v>301</v>
      </c>
      <c r="I231" s="176">
        <v>5603</v>
      </c>
      <c r="J231" s="197" t="s">
        <v>296</v>
      </c>
      <c r="K231" s="199"/>
      <c r="L231" s="200"/>
      <c r="M231" s="201">
        <v>1</v>
      </c>
      <c r="N231" s="202">
        <v>101.18</v>
      </c>
      <c r="O231" s="201">
        <v>1</v>
      </c>
      <c r="P231" s="175"/>
      <c r="Q231" s="175"/>
      <c r="R231" s="175"/>
      <c r="S231" s="175"/>
      <c r="T231" s="206"/>
      <c r="U231" s="175"/>
      <c r="V231" s="175"/>
      <c r="W231" s="175"/>
      <c r="X231" s="175"/>
      <c r="Y231" s="175"/>
      <c r="Z231" s="178">
        <v>124.55</v>
      </c>
      <c r="AA231" s="178">
        <f t="shared" si="52"/>
        <v>124.55</v>
      </c>
      <c r="AB231" s="179">
        <f t="shared" si="50"/>
        <v>99.64</v>
      </c>
      <c r="AC231" s="180">
        <f t="shared" si="51"/>
        <v>24.91</v>
      </c>
    </row>
    <row r="232" spans="1:29" ht="11.25">
      <c r="A232" s="205" t="s">
        <v>216</v>
      </c>
      <c r="B232" s="196">
        <v>101047789</v>
      </c>
      <c r="C232" s="197" t="s">
        <v>217</v>
      </c>
      <c r="D232" s="175"/>
      <c r="E232" s="197" t="s">
        <v>294</v>
      </c>
      <c r="F232" s="175"/>
      <c r="G232" s="176">
        <v>6971500</v>
      </c>
      <c r="H232" s="197" t="s">
        <v>295</v>
      </c>
      <c r="I232" s="176">
        <v>5603</v>
      </c>
      <c r="J232" s="197" t="s">
        <v>296</v>
      </c>
      <c r="K232" s="199"/>
      <c r="L232" s="200"/>
      <c r="M232" s="201">
        <v>6</v>
      </c>
      <c r="N232" s="202">
        <v>537.32</v>
      </c>
      <c r="O232" s="201">
        <v>6</v>
      </c>
      <c r="P232" s="175"/>
      <c r="Q232" s="175"/>
      <c r="R232" s="175"/>
      <c r="S232" s="175"/>
      <c r="T232" s="206"/>
      <c r="U232" s="175"/>
      <c r="V232" s="175"/>
      <c r="W232" s="175"/>
      <c r="X232" s="175"/>
      <c r="Y232" s="175"/>
      <c r="Z232" s="178">
        <v>124.55</v>
      </c>
      <c r="AA232" s="178">
        <f t="shared" si="52"/>
        <v>747.3</v>
      </c>
      <c r="AB232" s="179">
        <f t="shared" si="50"/>
        <v>597.84</v>
      </c>
      <c r="AC232" s="180">
        <f t="shared" si="51"/>
        <v>149.46</v>
      </c>
    </row>
    <row r="233" spans="1:29" ht="11.25">
      <c r="A233" s="205" t="s">
        <v>216</v>
      </c>
      <c r="B233" s="196">
        <v>101047789</v>
      </c>
      <c r="C233" s="197" t="s">
        <v>217</v>
      </c>
      <c r="D233" s="175"/>
      <c r="E233" s="197" t="s">
        <v>294</v>
      </c>
      <c r="F233" s="175"/>
      <c r="G233" s="176">
        <v>6972102</v>
      </c>
      <c r="H233" s="197" t="s">
        <v>302</v>
      </c>
      <c r="I233" s="176">
        <v>5603</v>
      </c>
      <c r="J233" s="197" t="s">
        <v>296</v>
      </c>
      <c r="K233" s="199"/>
      <c r="L233" s="200"/>
      <c r="M233" s="201">
        <v>1</v>
      </c>
      <c r="N233" s="202">
        <v>259.34</v>
      </c>
      <c r="O233" s="201">
        <v>1</v>
      </c>
      <c r="P233" s="175"/>
      <c r="Q233" s="175"/>
      <c r="R233" s="175"/>
      <c r="S233" s="175"/>
      <c r="T233" s="206"/>
      <c r="U233" s="175"/>
      <c r="V233" s="175"/>
      <c r="W233" s="175"/>
      <c r="X233" s="175"/>
      <c r="Y233" s="175"/>
      <c r="Z233" s="178">
        <v>124.55</v>
      </c>
      <c r="AA233" s="178">
        <f t="shared" si="52"/>
        <v>124.55</v>
      </c>
      <c r="AB233" s="179">
        <f t="shared" si="50"/>
        <v>99.64</v>
      </c>
      <c r="AC233" s="180">
        <f t="shared" si="51"/>
        <v>24.91</v>
      </c>
    </row>
    <row r="234" spans="1:29" ht="11.25">
      <c r="A234" s="207" t="s">
        <v>216</v>
      </c>
      <c r="B234" s="196">
        <v>101047789</v>
      </c>
      <c r="C234" s="208" t="s">
        <v>217</v>
      </c>
      <c r="D234" s="175"/>
      <c r="E234" s="208" t="s">
        <v>294</v>
      </c>
      <c r="F234" s="175"/>
      <c r="G234" s="209" t="s">
        <v>303</v>
      </c>
      <c r="H234" s="208" t="s">
        <v>304</v>
      </c>
      <c r="I234" s="209" t="s">
        <v>305</v>
      </c>
      <c r="J234" s="208" t="s">
        <v>306</v>
      </c>
      <c r="K234" s="199">
        <v>3</v>
      </c>
      <c r="L234" s="200">
        <v>3010.66</v>
      </c>
      <c r="M234" s="201">
        <v>3</v>
      </c>
      <c r="N234" s="202">
        <v>3010.66</v>
      </c>
      <c r="O234" s="201">
        <v>3</v>
      </c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8">
        <f>ROUND(542.17*1.0847,6)</f>
        <v>588.091799</v>
      </c>
      <c r="AA234" s="178">
        <f>ROUND(Z234*O234,6)</f>
        <v>1764.275397</v>
      </c>
      <c r="AB234" s="179">
        <f t="shared" si="50"/>
        <v>1411.420318</v>
      </c>
      <c r="AC234" s="180">
        <f t="shared" si="51"/>
        <v>352.855079</v>
      </c>
    </row>
    <row r="235" spans="1:29" ht="11.25">
      <c r="A235" s="207" t="s">
        <v>216</v>
      </c>
      <c r="B235" s="196">
        <v>101047789</v>
      </c>
      <c r="C235" s="208" t="s">
        <v>217</v>
      </c>
      <c r="D235" s="175"/>
      <c r="E235" s="208" t="s">
        <v>294</v>
      </c>
      <c r="F235" s="175"/>
      <c r="G235" s="209" t="s">
        <v>307</v>
      </c>
      <c r="H235" s="208" t="s">
        <v>308</v>
      </c>
      <c r="I235" s="209" t="s">
        <v>309</v>
      </c>
      <c r="J235" s="208" t="s">
        <v>310</v>
      </c>
      <c r="K235" s="199">
        <v>1</v>
      </c>
      <c r="L235" s="200">
        <v>328.93</v>
      </c>
      <c r="M235" s="201">
        <v>1</v>
      </c>
      <c r="N235" s="202">
        <v>328.93</v>
      </c>
      <c r="O235" s="201">
        <v>1</v>
      </c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8">
        <f>ROUND(542.17*1.0847,6)</f>
        <v>588.091799</v>
      </c>
      <c r="AA235" s="178">
        <f>ROUND(Z235*O235,6)</f>
        <v>588.091799</v>
      </c>
      <c r="AB235" s="179">
        <f t="shared" si="50"/>
        <v>470.473439</v>
      </c>
      <c r="AC235" s="180">
        <f t="shared" si="51"/>
        <v>117.61836</v>
      </c>
    </row>
    <row r="236" spans="1:29" ht="11.25">
      <c r="A236" s="207" t="s">
        <v>216</v>
      </c>
      <c r="B236" s="196">
        <v>101047789</v>
      </c>
      <c r="C236" s="208" t="s">
        <v>217</v>
      </c>
      <c r="D236" s="175"/>
      <c r="E236" s="208" t="s">
        <v>294</v>
      </c>
      <c r="F236" s="175"/>
      <c r="G236" s="209" t="s">
        <v>311</v>
      </c>
      <c r="H236" s="208" t="s">
        <v>312</v>
      </c>
      <c r="I236" s="209" t="s">
        <v>309</v>
      </c>
      <c r="J236" s="208" t="s">
        <v>310</v>
      </c>
      <c r="K236" s="199">
        <v>2</v>
      </c>
      <c r="L236" s="200">
        <v>928.08</v>
      </c>
      <c r="M236" s="201">
        <v>2</v>
      </c>
      <c r="N236" s="202">
        <v>928.08</v>
      </c>
      <c r="O236" s="201">
        <v>2</v>
      </c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8">
        <f>ROUND(542.17*1.0847,6)</f>
        <v>588.091799</v>
      </c>
      <c r="AA236" s="178">
        <f>ROUND(Z236*O236,2)</f>
        <v>1176.18</v>
      </c>
      <c r="AB236" s="179">
        <f t="shared" si="50"/>
        <v>940.944</v>
      </c>
      <c r="AC236" s="210">
        <f>AA236-AB236</f>
        <v>235.2360000000001</v>
      </c>
    </row>
    <row r="237" spans="1:29" ht="11.25">
      <c r="A237" s="207" t="s">
        <v>216</v>
      </c>
      <c r="B237" s="196">
        <v>101047789</v>
      </c>
      <c r="C237" s="208" t="s">
        <v>217</v>
      </c>
      <c r="D237" s="175"/>
      <c r="E237" s="208" t="s">
        <v>294</v>
      </c>
      <c r="F237" s="175"/>
      <c r="G237" s="209" t="s">
        <v>313</v>
      </c>
      <c r="H237" s="208" t="s">
        <v>314</v>
      </c>
      <c r="I237" s="209" t="s">
        <v>315</v>
      </c>
      <c r="J237" s="208" t="s">
        <v>316</v>
      </c>
      <c r="K237" s="199">
        <v>2</v>
      </c>
      <c r="L237" s="200">
        <v>639.32</v>
      </c>
      <c r="M237" s="201">
        <v>2</v>
      </c>
      <c r="N237" s="202">
        <v>639.32</v>
      </c>
      <c r="O237" s="201">
        <v>2</v>
      </c>
      <c r="P237" s="175"/>
      <c r="Q237" s="211"/>
      <c r="R237" s="175"/>
      <c r="S237" s="175"/>
      <c r="T237" s="175"/>
      <c r="U237" s="175"/>
      <c r="V237" s="175"/>
      <c r="W237" s="175"/>
      <c r="X237" s="175"/>
      <c r="Y237" s="175"/>
      <c r="Z237" s="178">
        <f>ROUND(542.17*1.0847,6)</f>
        <v>588.091799</v>
      </c>
      <c r="AA237" s="178">
        <f>ROUND(Z237*O237,2)</f>
        <v>1176.18</v>
      </c>
      <c r="AB237" s="179">
        <f t="shared" si="50"/>
        <v>940.944</v>
      </c>
      <c r="AC237" s="210">
        <f>AA237-AB237</f>
        <v>235.2360000000001</v>
      </c>
    </row>
    <row r="238" spans="1:29" ht="11.25">
      <c r="A238" s="207" t="s">
        <v>216</v>
      </c>
      <c r="B238" s="196">
        <v>101047789</v>
      </c>
      <c r="C238" s="208" t="s">
        <v>217</v>
      </c>
      <c r="D238" s="175"/>
      <c r="E238" s="208" t="s">
        <v>294</v>
      </c>
      <c r="F238" s="175"/>
      <c r="G238" s="209" t="s">
        <v>317</v>
      </c>
      <c r="H238" s="208" t="s">
        <v>318</v>
      </c>
      <c r="I238" s="209" t="s">
        <v>315</v>
      </c>
      <c r="J238" s="208" t="s">
        <v>316</v>
      </c>
      <c r="K238" s="199">
        <v>1</v>
      </c>
      <c r="L238" s="200">
        <v>578.91</v>
      </c>
      <c r="M238" s="201">
        <v>1</v>
      </c>
      <c r="N238" s="202">
        <v>578.91</v>
      </c>
      <c r="O238" s="201">
        <v>1</v>
      </c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8">
        <f>ROUND(542.17*1.0847,6)</f>
        <v>588.091799</v>
      </c>
      <c r="AA238" s="178">
        <f>ROUND(Z238*O238,6)</f>
        <v>588.091799</v>
      </c>
      <c r="AB238" s="179">
        <f t="shared" si="50"/>
        <v>470.473439</v>
      </c>
      <c r="AC238" s="180">
        <f aca="true" t="shared" si="53" ref="AC238:AC245">ROUND(AA238*0.2,6)</f>
        <v>117.61836</v>
      </c>
    </row>
    <row r="239" spans="1:29" ht="11.25">
      <c r="A239" s="207" t="s">
        <v>216</v>
      </c>
      <c r="B239" s="196">
        <v>101047789</v>
      </c>
      <c r="C239" s="208" t="s">
        <v>217</v>
      </c>
      <c r="D239" s="175"/>
      <c r="E239" s="208" t="s">
        <v>294</v>
      </c>
      <c r="F239" s="175"/>
      <c r="G239" s="209">
        <v>9995493</v>
      </c>
      <c r="H239" s="208" t="s">
        <v>319</v>
      </c>
      <c r="I239" s="209">
        <v>5603</v>
      </c>
      <c r="J239" s="197" t="s">
        <v>296</v>
      </c>
      <c r="K239" s="199"/>
      <c r="L239" s="200"/>
      <c r="M239" s="201">
        <v>1</v>
      </c>
      <c r="N239" s="202">
        <v>181.42</v>
      </c>
      <c r="O239" s="201">
        <v>1</v>
      </c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8">
        <v>124.55</v>
      </c>
      <c r="AA239" s="178">
        <f>ROUND(Z239*O239,2)</f>
        <v>124.55</v>
      </c>
      <c r="AB239" s="179">
        <f t="shared" si="50"/>
        <v>99.64</v>
      </c>
      <c r="AC239" s="180">
        <f t="shared" si="53"/>
        <v>24.91</v>
      </c>
    </row>
    <row r="240" spans="1:29" ht="11.25">
      <c r="A240" s="207" t="s">
        <v>216</v>
      </c>
      <c r="B240" s="196">
        <v>101047789</v>
      </c>
      <c r="C240" s="208" t="s">
        <v>217</v>
      </c>
      <c r="D240" s="175"/>
      <c r="E240" s="208" t="s">
        <v>294</v>
      </c>
      <c r="F240" s="175"/>
      <c r="G240" s="209">
        <v>9997006</v>
      </c>
      <c r="H240" s="208" t="s">
        <v>320</v>
      </c>
      <c r="I240" s="209">
        <v>5603</v>
      </c>
      <c r="J240" s="197" t="s">
        <v>296</v>
      </c>
      <c r="K240" s="199"/>
      <c r="L240" s="200"/>
      <c r="M240" s="201">
        <v>1</v>
      </c>
      <c r="N240" s="202">
        <v>694.78</v>
      </c>
      <c r="O240" s="201">
        <v>1</v>
      </c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8">
        <v>124.55</v>
      </c>
      <c r="AA240" s="178">
        <f>ROUND(Z240*O240,2)</f>
        <v>124.55</v>
      </c>
      <c r="AB240" s="179">
        <f t="shared" si="50"/>
        <v>99.64</v>
      </c>
      <c r="AC240" s="180">
        <f t="shared" si="53"/>
        <v>24.91</v>
      </c>
    </row>
    <row r="241" spans="1:29" ht="11.25">
      <c r="A241" s="205" t="s">
        <v>251</v>
      </c>
      <c r="B241" s="196">
        <v>101047801</v>
      </c>
      <c r="C241" s="197" t="s">
        <v>252</v>
      </c>
      <c r="D241" s="175"/>
      <c r="E241" s="197" t="s">
        <v>294</v>
      </c>
      <c r="F241" s="175"/>
      <c r="G241" s="176" t="s">
        <v>321</v>
      </c>
      <c r="H241" s="197" t="s">
        <v>322</v>
      </c>
      <c r="I241" s="176" t="s">
        <v>309</v>
      </c>
      <c r="J241" s="197" t="s">
        <v>310</v>
      </c>
      <c r="K241" s="175">
        <v>1</v>
      </c>
      <c r="L241" s="175">
        <v>349.17</v>
      </c>
      <c r="M241" s="175">
        <v>0</v>
      </c>
      <c r="N241" s="175">
        <v>349.17</v>
      </c>
      <c r="O241" s="201">
        <v>0</v>
      </c>
      <c r="P241" s="175"/>
      <c r="Q241" s="175"/>
      <c r="R241" s="175"/>
      <c r="S241" s="175"/>
      <c r="T241" s="206"/>
      <c r="U241" s="175"/>
      <c r="V241" s="175"/>
      <c r="W241" s="175"/>
      <c r="X241" s="175"/>
      <c r="Y241" s="175"/>
      <c r="Z241" s="178">
        <f>ROUND(542.17*1.0847,6)</f>
        <v>588.091799</v>
      </c>
      <c r="AA241" s="178">
        <f>ROUND(Z241*O241,6)</f>
        <v>0</v>
      </c>
      <c r="AB241" s="179">
        <f t="shared" si="50"/>
        <v>0</v>
      </c>
      <c r="AC241" s="180">
        <f t="shared" si="53"/>
        <v>0</v>
      </c>
    </row>
    <row r="242" spans="1:29" ht="11.25">
      <c r="A242" s="207" t="s">
        <v>251</v>
      </c>
      <c r="B242" s="196">
        <v>101047801</v>
      </c>
      <c r="C242" s="208" t="s">
        <v>252</v>
      </c>
      <c r="D242" s="175"/>
      <c r="E242" s="208" t="s">
        <v>294</v>
      </c>
      <c r="F242" s="175"/>
      <c r="G242" s="209" t="s">
        <v>321</v>
      </c>
      <c r="H242" s="208" t="s">
        <v>322</v>
      </c>
      <c r="I242" s="209" t="s">
        <v>309</v>
      </c>
      <c r="J242" s="208" t="s">
        <v>310</v>
      </c>
      <c r="K242" s="199">
        <v>1</v>
      </c>
      <c r="L242" s="200">
        <v>349.17</v>
      </c>
      <c r="M242" s="201">
        <v>1</v>
      </c>
      <c r="N242" s="202">
        <v>349.17</v>
      </c>
      <c r="O242" s="201">
        <v>1</v>
      </c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8">
        <f>ROUND(542.17*1.0847,6)</f>
        <v>588.091799</v>
      </c>
      <c r="AA242" s="178">
        <f>ROUND(Z242*O242,6)</f>
        <v>588.091799</v>
      </c>
      <c r="AB242" s="179">
        <f t="shared" si="50"/>
        <v>470.473439</v>
      </c>
      <c r="AC242" s="180">
        <f t="shared" si="53"/>
        <v>117.61836</v>
      </c>
    </row>
    <row r="243" spans="1:29" ht="11.25">
      <c r="A243" s="207" t="s">
        <v>275</v>
      </c>
      <c r="B243" s="196">
        <v>101047801</v>
      </c>
      <c r="C243" s="208" t="s">
        <v>276</v>
      </c>
      <c r="D243" s="175"/>
      <c r="E243" s="212" t="s">
        <v>323</v>
      </c>
      <c r="F243" s="175"/>
      <c r="G243" s="209" t="s">
        <v>324</v>
      </c>
      <c r="H243" s="212" t="s">
        <v>325</v>
      </c>
      <c r="I243" s="209" t="s">
        <v>326</v>
      </c>
      <c r="J243" s="212" t="s">
        <v>327</v>
      </c>
      <c r="K243" s="199">
        <v>1</v>
      </c>
      <c r="L243" s="200">
        <v>59.69</v>
      </c>
      <c r="M243" s="201">
        <v>1</v>
      </c>
      <c r="N243" s="202">
        <v>59.69</v>
      </c>
      <c r="O243" s="201">
        <v>1</v>
      </c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8">
        <f>ROUND(191.35*1.0847,6)</f>
        <v>207.557345</v>
      </c>
      <c r="AA243" s="178">
        <f>ROUND(Z243*O243,6)</f>
        <v>207.557345</v>
      </c>
      <c r="AB243" s="179">
        <f t="shared" si="50"/>
        <v>166.045876</v>
      </c>
      <c r="AC243" s="180">
        <f t="shared" si="53"/>
        <v>41.511469</v>
      </c>
    </row>
    <row r="244" spans="1:29" ht="11.25">
      <c r="A244" s="207" t="s">
        <v>261</v>
      </c>
      <c r="B244" s="196">
        <v>101047803</v>
      </c>
      <c r="C244" s="208" t="s">
        <v>262</v>
      </c>
      <c r="D244" s="175"/>
      <c r="E244" s="212" t="s">
        <v>323</v>
      </c>
      <c r="F244" s="175"/>
      <c r="G244" s="209" t="s">
        <v>324</v>
      </c>
      <c r="H244" s="212" t="s">
        <v>325</v>
      </c>
      <c r="I244" s="209" t="s">
        <v>326</v>
      </c>
      <c r="J244" s="212" t="s">
        <v>327</v>
      </c>
      <c r="K244" s="199">
        <v>1</v>
      </c>
      <c r="L244" s="200">
        <v>59.62</v>
      </c>
      <c r="M244" s="201">
        <v>1</v>
      </c>
      <c r="N244" s="202">
        <v>59.62</v>
      </c>
      <c r="O244" s="201">
        <v>1</v>
      </c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8">
        <f>ROUND(191.35*1.0847,6)</f>
        <v>207.557345</v>
      </c>
      <c r="AA244" s="178">
        <f>ROUND(Z244*O244,6)</f>
        <v>207.557345</v>
      </c>
      <c r="AB244" s="179">
        <f t="shared" si="50"/>
        <v>166.045876</v>
      </c>
      <c r="AC244" s="180">
        <f t="shared" si="53"/>
        <v>41.511469</v>
      </c>
    </row>
    <row r="245" spans="1:29" ht="11.25">
      <c r="A245" s="213" t="s">
        <v>271</v>
      </c>
      <c r="B245" s="214">
        <v>101047809</v>
      </c>
      <c r="C245" s="215" t="s">
        <v>272</v>
      </c>
      <c r="D245" s="181"/>
      <c r="E245" s="216" t="s">
        <v>323</v>
      </c>
      <c r="F245" s="181"/>
      <c r="G245" s="217" t="s">
        <v>328</v>
      </c>
      <c r="H245" s="216" t="s">
        <v>329</v>
      </c>
      <c r="I245" s="217" t="s">
        <v>330</v>
      </c>
      <c r="J245" s="216" t="s">
        <v>331</v>
      </c>
      <c r="K245" s="218">
        <v>4</v>
      </c>
      <c r="L245" s="219">
        <v>181.67</v>
      </c>
      <c r="M245" s="220">
        <v>4</v>
      </c>
      <c r="N245" s="221">
        <v>181.67</v>
      </c>
      <c r="O245" s="220">
        <v>4</v>
      </c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2">
        <f>ROUND(191.35*1.0847,6)</f>
        <v>207.557345</v>
      </c>
      <c r="AA245" s="182">
        <f>ROUND(Z245*O245,6)</f>
        <v>830.22938</v>
      </c>
      <c r="AB245" s="183">
        <f t="shared" si="50"/>
        <v>664.183504</v>
      </c>
      <c r="AC245" s="184">
        <f t="shared" si="53"/>
        <v>166.045876</v>
      </c>
    </row>
    <row r="246" spans="1:29" ht="11.25">
      <c r="A246" s="167" t="s">
        <v>332</v>
      </c>
      <c r="AA246" s="163">
        <f>SUM(AA224:AA245)</f>
        <v>20906.104864</v>
      </c>
      <c r="AB246" s="163">
        <f>SUM(AB224:AB245)</f>
        <v>16724.883890999994</v>
      </c>
      <c r="AC246" s="163">
        <f>SUM(AC224:AC245)</f>
        <v>4181.2209729999995</v>
      </c>
    </row>
    <row r="248" spans="1:29" ht="12">
      <c r="A248" s="329" t="s">
        <v>333</v>
      </c>
      <c r="B248" s="318"/>
      <c r="C248" s="319"/>
      <c r="D248" s="320"/>
      <c r="E248" s="320"/>
      <c r="F248" s="320"/>
      <c r="G248" s="318"/>
      <c r="H248" s="320"/>
      <c r="I248" s="318"/>
      <c r="J248" s="320"/>
      <c r="K248" s="320"/>
      <c r="L248" s="320"/>
      <c r="M248" s="320"/>
      <c r="N248" s="320"/>
      <c r="O248" s="320"/>
      <c r="P248" s="320"/>
      <c r="Q248" s="321"/>
      <c r="R248" s="320"/>
      <c r="S248" s="320"/>
      <c r="T248" s="320"/>
      <c r="U248" s="320"/>
      <c r="V248" s="320"/>
      <c r="W248" s="320"/>
      <c r="X248" s="320"/>
      <c r="Y248" s="320"/>
      <c r="Z248" s="320"/>
      <c r="AA248" s="333">
        <f>AA215</f>
        <v>3235363.3599999985</v>
      </c>
      <c r="AB248" s="333">
        <f>AB215</f>
        <v>2588290.649999999</v>
      </c>
      <c r="AC248" s="333">
        <f>AC215</f>
        <v>647072.7099999997</v>
      </c>
    </row>
    <row r="249" spans="1:29" ht="12">
      <c r="A249" s="330" t="s">
        <v>334</v>
      </c>
      <c r="B249" s="322"/>
      <c r="C249" s="323"/>
      <c r="D249" s="154"/>
      <c r="E249" s="154"/>
      <c r="F249" s="154"/>
      <c r="G249" s="322"/>
      <c r="H249" s="154"/>
      <c r="I249" s="322"/>
      <c r="J249" s="154"/>
      <c r="K249" s="154"/>
      <c r="L249" s="154"/>
      <c r="M249" s="154"/>
      <c r="N249" s="154"/>
      <c r="O249" s="154"/>
      <c r="P249" s="154"/>
      <c r="Q249" s="324"/>
      <c r="R249" s="154"/>
      <c r="S249" s="154"/>
      <c r="T249" s="154"/>
      <c r="U249" s="154"/>
      <c r="V249" s="154"/>
      <c r="W249" s="154"/>
      <c r="X249" s="154"/>
      <c r="Y249" s="154"/>
      <c r="Z249" s="154"/>
      <c r="AA249" s="334">
        <f>AA222+AA246</f>
        <v>489040.57486399997</v>
      </c>
      <c r="AB249" s="334">
        <f>AB222+AB246</f>
        <v>391232.463891</v>
      </c>
      <c r="AC249" s="334">
        <f>AC222+AC246</f>
        <v>97808.110973</v>
      </c>
    </row>
    <row r="250" spans="1:29" ht="12">
      <c r="A250" s="330" t="s">
        <v>335</v>
      </c>
      <c r="B250" s="322"/>
      <c r="C250" s="323"/>
      <c r="D250" s="154"/>
      <c r="E250" s="154"/>
      <c r="F250" s="154"/>
      <c r="G250" s="322"/>
      <c r="H250" s="154"/>
      <c r="I250" s="322"/>
      <c r="J250" s="154"/>
      <c r="K250" s="154"/>
      <c r="L250" s="154"/>
      <c r="M250" s="154"/>
      <c r="N250" s="154"/>
      <c r="O250" s="154"/>
      <c r="P250" s="154"/>
      <c r="Q250" s="324"/>
      <c r="R250" s="154"/>
      <c r="S250" s="154"/>
      <c r="T250" s="154"/>
      <c r="U250" s="154"/>
      <c r="V250" s="154"/>
      <c r="W250" s="154"/>
      <c r="X250" s="154"/>
      <c r="Y250" s="154"/>
      <c r="Z250" s="154"/>
      <c r="AA250" s="334">
        <f>AA248+AA249</f>
        <v>3724403.9348639986</v>
      </c>
      <c r="AB250" s="334">
        <f>AB248+AB249</f>
        <v>2979523.113890999</v>
      </c>
      <c r="AC250" s="334">
        <f>AC248+AC249</f>
        <v>744880.8209729998</v>
      </c>
    </row>
    <row r="251" spans="1:29" ht="12">
      <c r="A251" s="331" t="s">
        <v>336</v>
      </c>
      <c r="B251" s="322"/>
      <c r="C251" s="323"/>
      <c r="D251" s="154"/>
      <c r="E251" s="154"/>
      <c r="F251" s="154"/>
      <c r="G251" s="322"/>
      <c r="H251" s="154"/>
      <c r="I251" s="322"/>
      <c r="J251" s="154"/>
      <c r="K251" s="154"/>
      <c r="L251" s="154"/>
      <c r="M251" s="154"/>
      <c r="N251" s="154"/>
      <c r="O251" s="154"/>
      <c r="P251" s="154"/>
      <c r="Q251" s="324"/>
      <c r="R251" s="154"/>
      <c r="S251" s="154"/>
      <c r="T251" s="154"/>
      <c r="U251" s="154"/>
      <c r="V251" s="154"/>
      <c r="W251" s="154"/>
      <c r="X251" s="154"/>
      <c r="Y251" s="154"/>
      <c r="Z251" s="154"/>
      <c r="AA251" s="334">
        <f>ROUND((AA250)*0.045,2)</f>
        <v>167598.18</v>
      </c>
      <c r="AB251" s="334">
        <f>ROUND((AB250)*0.045,2)</f>
        <v>134078.54</v>
      </c>
      <c r="AC251" s="334">
        <f>ROUND((AC250)*0.045,2)</f>
        <v>33519.64</v>
      </c>
    </row>
    <row r="252" spans="1:29" ht="12.75" thickBot="1">
      <c r="A252" s="332" t="s">
        <v>337</v>
      </c>
      <c r="B252" s="325"/>
      <c r="C252" s="326"/>
      <c r="D252" s="327"/>
      <c r="E252" s="327"/>
      <c r="F252" s="327"/>
      <c r="G252" s="325"/>
      <c r="H252" s="327"/>
      <c r="I252" s="325"/>
      <c r="J252" s="327"/>
      <c r="K252" s="327"/>
      <c r="L252" s="327"/>
      <c r="M252" s="327"/>
      <c r="N252" s="327"/>
      <c r="O252" s="327"/>
      <c r="P252" s="327"/>
      <c r="Q252" s="328"/>
      <c r="R252" s="327"/>
      <c r="S252" s="327"/>
      <c r="T252" s="327"/>
      <c r="U252" s="327"/>
      <c r="V252" s="327"/>
      <c r="W252" s="327"/>
      <c r="X252" s="327"/>
      <c r="Y252" s="327"/>
      <c r="Z252" s="327"/>
      <c r="AA252" s="335">
        <f>AA250+AA251</f>
        <v>3892002.1148639987</v>
      </c>
      <c r="AB252" s="335">
        <f>AB250+AB251</f>
        <v>3113601.653890999</v>
      </c>
      <c r="AC252" s="335">
        <f>AC250+AC251</f>
        <v>778400.4609729998</v>
      </c>
    </row>
    <row r="253" ht="12" thickTop="1"/>
  </sheetData>
  <sheetProtection/>
  <autoFilter ref="A1:AD214"/>
  <printOptions horizontalCentered="1" verticalCentered="1"/>
  <pageMargins left="0.2" right="0" top="0.5" bottom="0.5" header="0.5" footer="0.5"/>
  <pageSetup horizontalDpi="300" verticalDpi="300" orientation="landscape" paperSize="17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makda.solomon</cp:lastModifiedBy>
  <cp:lastPrinted>2008-05-27T21:28:58Z</cp:lastPrinted>
  <dcterms:created xsi:type="dcterms:W3CDTF">2005-10-03T18:05:19Z</dcterms:created>
  <dcterms:modified xsi:type="dcterms:W3CDTF">2008-05-28T16:42:02Z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