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xl/externalLinks/externalLink3.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Users\steea\Documents\NRPortbl\LEGAL\STEEA\"/>
    </mc:Choice>
  </mc:AlternateContent>
  <xr:revisionPtr revIDLastSave="0" documentId="8_{4CC3B0DF-7020-4B09-9472-9020D7DE7B83}" xr6:coauthVersionLast="36" xr6:coauthVersionMax="36" xr10:uidLastSave="{00000000-0000-0000-0000-000000000000}"/>
  <bookViews>
    <workbookView xWindow="12000" yWindow="410" windowWidth="7140" windowHeight="7440" tabRatio="798" xr2:uid="{00000000-000D-0000-FFFF-FFFF00000000}"/>
  </bookViews>
  <sheets>
    <sheet name="Final Result" sheetId="19" r:id="rId1"/>
    <sheet name="Financial Assumptions" sheetId="1" r:id="rId2"/>
    <sheet name="Project Assumptions" sheetId="4" r:id="rId3"/>
    <sheet name="Income Statement (Results)" sheetId="9" r:id="rId4"/>
    <sheet name="Cash Flow Statement (Results)" sheetId="10" r:id="rId5"/>
    <sheet name="Revenue Requirement" sheetId="3" r:id="rId6"/>
    <sheet name="Plant Results" sheetId="7" r:id="rId7"/>
    <sheet name="Capital Results " sheetId="6" r:id="rId8"/>
    <sheet name="IRS DEPREC RATES" sheetId="8" r:id="rId9"/>
    <sheet name="Sheet1" sheetId="20" r:id="rId10"/>
    <sheet name="Results Calculation" sheetId="11" r:id="rId11"/>
  </sheets>
  <externalReferences>
    <externalReference r:id="rId12"/>
    <externalReference r:id="rId13"/>
    <externalReference r:id="rId14"/>
  </externalReferences>
  <definedNames>
    <definedName name="After_Tax_Cash_Discount">'Financial Assumptions'!$E$50</definedName>
    <definedName name="AFUDC_Switch">'Financial Assumptions'!$E$24</definedName>
    <definedName name="Capital_Escalation_Factor">'Capital Results '!$D$3</definedName>
    <definedName name="Equity_Discount_Rate">'Financial Assumptions'!$E$53</definedName>
    <definedName name="Equity_Percent">'Financial Assumptions'!$C$41</definedName>
    <definedName name="FIT_Tax_Rate">'Financial Assumptions'!$C$15</definedName>
    <definedName name="Forecast_Period">'Financial Assumptions'!$C$8</definedName>
    <definedName name="Insurance_Rate">'Financial Assumptions'!$C$20</definedName>
    <definedName name="Levy_Rate">'Financial Assumptions'!$C$16</definedName>
    <definedName name="MACRS" localSheetId="0">'IRS DEPREC RATES'!$C$7:$AV$14</definedName>
    <definedName name="MACRS">'IRS DEPREC RATES'!$C$7:$AV$14</definedName>
    <definedName name="MACRS_TABLE">'IRS DEPREC RATES'!$C$7:$BP$15</definedName>
    <definedName name="O_M_Escalation">'Project Assumptions'!#REF!</definedName>
    <definedName name="O_M_Input" localSheetId="0">'[1]Operations(Input)'!$C$11:$P$12,'[1]Operations(Input)'!$C$17:$P$17,'[1]Operations(Input)'!$C$19:$C$21,'[1]Operations(Input)'!$C$21:$P$21,'[1]Operations(Input)'!$C$19:$P$19</definedName>
    <definedName name="O_M_Input">'[2]Operations(Input)'!$B$5:$AO$8,'[2]Operations(Input)'!$B$13:$AO$13,'[2]Operations(Input)'!$B$15:$B$17,'[2]Operations(Input)'!$B$17:$AO$17,'[2]Operations(Input)'!$B$15:$AO$15</definedName>
    <definedName name="Plant_Input" localSheetId="0">'[1]Asset Schedule'!$C$9:$AQ$11,'[1]Asset Schedule'!$C$13,'[1]Asset Schedule'!$C$17:$AQ$17,'[1]Asset Schedule'!$C$20,'[1]Asset Schedule'!$C$22:$AQ$22</definedName>
    <definedName name="Plant_Input">'[2]Plant(Input)'!$B$7:$AP$9,'[2]Plant(Input)'!$B$11,'[2]Plant(Input)'!$B$15:$AP$15,'[2]Plant(Input)'!$B$18,'[2]Plant(Input)'!$B$20:$AP$20</definedName>
    <definedName name="pre_tax_WACC">'Financial Assumptions'!$E$52</definedName>
    <definedName name="_xlnm.Print_Area" localSheetId="4">'Cash Flow Statement (Results)'!$B$4:$H$35</definedName>
    <definedName name="_xlnm.Print_Area" localSheetId="0">'Final Result'!$A$1:$M$57</definedName>
    <definedName name="_xlnm.Print_Area" localSheetId="3">'Income Statement (Results)'!$B$2:$H$38</definedName>
    <definedName name="_xlnm.Print_Titles" localSheetId="4">'Cash Flow Statement (Results)'!$B:$B</definedName>
    <definedName name="_xlnm.Print_Titles" localSheetId="3">'Income Statement (Results)'!$B:$B</definedName>
    <definedName name="Project_Description">'Financial Assumptions'!$C$2</definedName>
    <definedName name="PropertyTax_Rate">'Financial Assumptions'!$C$17</definedName>
    <definedName name="Rate_Base_Used">'Financial Assumptions'!$C$28</definedName>
    <definedName name="Rate_Case_Lag__yrs">'Financial Assumptions'!$C$31</definedName>
    <definedName name="Regulation_Flag">'Financial Assumptions'!$E$23</definedName>
    <definedName name="Requlated_scenario">'Financial Assumptions'!$C$23</definedName>
    <definedName name="Revenue_Taxes">'Financial Assumptions'!$C$18</definedName>
    <definedName name="solver_typ" localSheetId="4" hidden="1">2</definedName>
    <definedName name="solver_typ" localSheetId="0" hidden="1">2</definedName>
    <definedName name="solver_typ" localSheetId="3" hidden="1">2</definedName>
    <definedName name="solver_typ" localSheetId="6" hidden="1">2</definedName>
    <definedName name="solver_typ" localSheetId="10" hidden="1">2</definedName>
    <definedName name="solver_ver" localSheetId="4" hidden="1">10</definedName>
    <definedName name="solver_ver" localSheetId="0" hidden="1">12</definedName>
    <definedName name="solver_ver" localSheetId="3" hidden="1">10</definedName>
    <definedName name="solver_ver" localSheetId="6" hidden="1">12</definedName>
    <definedName name="solver_ver" localSheetId="10" hidden="1">12</definedName>
    <definedName name="Start_Year">'Financial Assumptions'!$C$5</definedName>
    <definedName name="Tax_Life">'IRS DEPREC RATES'!$C$5:$AH$13</definedName>
    <definedName name="TM1_Purchase_Switch">#REF!</definedName>
    <definedName name="WACC">'Financial Assumptions'!$E$42</definedName>
    <definedName name="Wieghted_Cost_of_Interest">'Financial Assumptions'!$E$43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4" i="6" l="1"/>
  <c r="N53" i="6"/>
  <c r="M52" i="6"/>
  <c r="L51" i="6"/>
  <c r="K50" i="6"/>
  <c r="J49" i="6"/>
  <c r="I48" i="6"/>
  <c r="H47" i="6"/>
  <c r="G46" i="6"/>
  <c r="F45" i="6"/>
  <c r="E44" i="6"/>
  <c r="D43" i="6"/>
  <c r="I10" i="4"/>
  <c r="D25" i="4" l="1"/>
  <c r="D26" i="4"/>
  <c r="D27" i="4"/>
  <c r="D28" i="4"/>
  <c r="D29" i="4"/>
  <c r="D30" i="4"/>
  <c r="D31" i="4"/>
  <c r="D32" i="4"/>
  <c r="D33" i="4"/>
  <c r="D34" i="4"/>
  <c r="D35" i="4"/>
  <c r="D36" i="4"/>
  <c r="B67" i="7" l="1"/>
  <c r="B33" i="7"/>
  <c r="A33" i="7"/>
  <c r="A49" i="7" s="1"/>
  <c r="A67" i="7" s="1"/>
  <c r="B55" i="6"/>
  <c r="C18" i="6"/>
  <c r="B18" i="6"/>
  <c r="B36" i="6"/>
  <c r="B53" i="6" s="1"/>
  <c r="B69" i="6" s="1"/>
  <c r="AQ53" i="6"/>
  <c r="AP53" i="6"/>
  <c r="AO53" i="6"/>
  <c r="AN53" i="6"/>
  <c r="AM53" i="6"/>
  <c r="AL53" i="6"/>
  <c r="AK53" i="6"/>
  <c r="AJ53" i="6"/>
  <c r="AI53" i="6"/>
  <c r="AH53" i="6"/>
  <c r="AG53" i="6"/>
  <c r="AF53" i="6"/>
  <c r="AE53" i="6"/>
  <c r="AD53" i="6"/>
  <c r="AC53" i="6"/>
  <c r="AB53" i="6"/>
  <c r="AA53" i="6"/>
  <c r="Z53" i="6"/>
  <c r="Y53" i="6"/>
  <c r="X53" i="6"/>
  <c r="W53" i="6"/>
  <c r="V53" i="6"/>
  <c r="O53" i="6"/>
  <c r="M53" i="6"/>
  <c r="L53" i="6"/>
  <c r="K53" i="6"/>
  <c r="J53" i="6"/>
  <c r="I53" i="6"/>
  <c r="H53" i="6"/>
  <c r="G53" i="6"/>
  <c r="F53" i="6"/>
  <c r="E53" i="6"/>
  <c r="D53" i="6"/>
  <c r="AD10" i="4"/>
  <c r="J35" i="19"/>
  <c r="J33" i="19"/>
  <c r="M10" i="4"/>
  <c r="I35" i="19" l="1"/>
  <c r="H35" i="19"/>
  <c r="G35" i="19"/>
  <c r="F35" i="19"/>
  <c r="E35" i="19"/>
  <c r="D35" i="19"/>
  <c r="I33" i="19"/>
  <c r="H33" i="19"/>
  <c r="G33" i="19"/>
  <c r="F33" i="19"/>
  <c r="E33" i="19"/>
  <c r="D33" i="19"/>
  <c r="C33" i="19" l="1"/>
  <c r="C35" i="19"/>
  <c r="G36" i="19"/>
  <c r="D36" i="19"/>
  <c r="H36" i="19"/>
  <c r="E36" i="19"/>
  <c r="F36" i="19"/>
  <c r="C36" i="19" l="1"/>
  <c r="H35" i="4"/>
  <c r="C69" i="6" s="1"/>
  <c r="G35" i="4"/>
  <c r="C35" i="4"/>
  <c r="B49" i="7" s="1"/>
  <c r="C21" i="19" l="1"/>
  <c r="C22" i="19"/>
  <c r="C23" i="19"/>
  <c r="C25" i="19"/>
  <c r="C26" i="19"/>
  <c r="C27" i="19"/>
  <c r="B28" i="19"/>
  <c r="B34" i="7"/>
  <c r="B32" i="7"/>
  <c r="B31" i="7"/>
  <c r="B30" i="7"/>
  <c r="B29" i="7"/>
  <c r="A34" i="7"/>
  <c r="A32" i="7"/>
  <c r="A31" i="7"/>
  <c r="A47" i="7" s="1"/>
  <c r="A65" i="7" s="1"/>
  <c r="A30" i="7"/>
  <c r="A46" i="7" s="1"/>
  <c r="A64" i="7" s="1"/>
  <c r="AQ54" i="6"/>
  <c r="AP54" i="6"/>
  <c r="AO54" i="6"/>
  <c r="AN54" i="6"/>
  <c r="AM54" i="6"/>
  <c r="AL54" i="6"/>
  <c r="AK54" i="6"/>
  <c r="AJ54" i="6"/>
  <c r="AI54" i="6"/>
  <c r="AH54" i="6"/>
  <c r="AG54" i="6"/>
  <c r="AF54" i="6"/>
  <c r="AE54" i="6"/>
  <c r="AD54" i="6"/>
  <c r="AC54" i="6"/>
  <c r="AB54" i="6"/>
  <c r="AA54" i="6"/>
  <c r="Z54" i="6"/>
  <c r="Y54" i="6"/>
  <c r="X54" i="6"/>
  <c r="W54" i="6"/>
  <c r="V54" i="6"/>
  <c r="AQ52" i="6"/>
  <c r="AP52" i="6"/>
  <c r="AO52" i="6"/>
  <c r="AN52" i="6"/>
  <c r="AM52" i="6"/>
  <c r="AL52" i="6"/>
  <c r="AK52" i="6"/>
  <c r="AJ52" i="6"/>
  <c r="AI52" i="6"/>
  <c r="AH52" i="6"/>
  <c r="AG52" i="6"/>
  <c r="AF52" i="6"/>
  <c r="AE52" i="6"/>
  <c r="AD52" i="6"/>
  <c r="AC52" i="6"/>
  <c r="AB52" i="6"/>
  <c r="AA52" i="6"/>
  <c r="Z52" i="6"/>
  <c r="Y52" i="6"/>
  <c r="X52" i="6"/>
  <c r="W52" i="6"/>
  <c r="V52" i="6"/>
  <c r="B37" i="6"/>
  <c r="B54" i="6" s="1"/>
  <c r="B35" i="6"/>
  <c r="B52" i="6" s="1"/>
  <c r="C19" i="6"/>
  <c r="B19" i="6"/>
  <c r="C17" i="6"/>
  <c r="B17" i="6"/>
  <c r="AQ51" i="6"/>
  <c r="AP51" i="6"/>
  <c r="AO51" i="6"/>
  <c r="AN51" i="6"/>
  <c r="AM51" i="6"/>
  <c r="AL51" i="6"/>
  <c r="AK51" i="6"/>
  <c r="AJ51" i="6"/>
  <c r="AI51" i="6"/>
  <c r="AH51" i="6"/>
  <c r="AG51" i="6"/>
  <c r="AF51" i="6"/>
  <c r="AE51" i="6"/>
  <c r="AD51" i="6"/>
  <c r="AC51" i="6"/>
  <c r="AB51" i="6"/>
  <c r="AA51" i="6"/>
  <c r="Z51" i="6"/>
  <c r="Y51" i="6"/>
  <c r="X51" i="6"/>
  <c r="W51" i="6"/>
  <c r="V51" i="6"/>
  <c r="AQ50" i="6"/>
  <c r="AP50" i="6"/>
  <c r="AO50" i="6"/>
  <c r="AN50" i="6"/>
  <c r="AM50" i="6"/>
  <c r="AL50" i="6"/>
  <c r="AK50" i="6"/>
  <c r="AJ50" i="6"/>
  <c r="AI50" i="6"/>
  <c r="AH50" i="6"/>
  <c r="AG50" i="6"/>
  <c r="AF50" i="6"/>
  <c r="AE50" i="6"/>
  <c r="AD50" i="6"/>
  <c r="AC50" i="6"/>
  <c r="AB50" i="6"/>
  <c r="AA50" i="6"/>
  <c r="Z50" i="6"/>
  <c r="Y50" i="6"/>
  <c r="X50" i="6"/>
  <c r="W50" i="6"/>
  <c r="V50" i="6"/>
  <c r="AQ49" i="6"/>
  <c r="AP49" i="6"/>
  <c r="AO49" i="6"/>
  <c r="AN49" i="6"/>
  <c r="AM49" i="6"/>
  <c r="AL49" i="6"/>
  <c r="AK49" i="6"/>
  <c r="AJ49" i="6"/>
  <c r="AI49" i="6"/>
  <c r="AH49" i="6"/>
  <c r="AG49" i="6"/>
  <c r="AF49" i="6"/>
  <c r="AE49" i="6"/>
  <c r="AD49" i="6"/>
  <c r="AC49" i="6"/>
  <c r="AB49" i="6"/>
  <c r="AA49" i="6"/>
  <c r="Z49" i="6"/>
  <c r="Y49" i="6"/>
  <c r="X49" i="6"/>
  <c r="W49" i="6"/>
  <c r="V49" i="6"/>
  <c r="AQ48" i="6"/>
  <c r="AP48" i="6"/>
  <c r="AO48" i="6"/>
  <c r="AN48" i="6"/>
  <c r="AM48" i="6"/>
  <c r="AL48" i="6"/>
  <c r="AK48" i="6"/>
  <c r="AJ48" i="6"/>
  <c r="AI48" i="6"/>
  <c r="AH48" i="6"/>
  <c r="AG48" i="6"/>
  <c r="AF48" i="6"/>
  <c r="AE48" i="6"/>
  <c r="AD48" i="6"/>
  <c r="AC48" i="6"/>
  <c r="AB48" i="6"/>
  <c r="AA48" i="6"/>
  <c r="Z48" i="6"/>
  <c r="Y48" i="6"/>
  <c r="X48" i="6"/>
  <c r="W48" i="6"/>
  <c r="V48" i="6"/>
  <c r="AQ47" i="6"/>
  <c r="AP47" i="6"/>
  <c r="AO47" i="6"/>
  <c r="AN47" i="6"/>
  <c r="AM47" i="6"/>
  <c r="AL47" i="6"/>
  <c r="AK47" i="6"/>
  <c r="AJ47" i="6"/>
  <c r="AI47" i="6"/>
  <c r="AH47" i="6"/>
  <c r="AG47" i="6"/>
  <c r="AF47" i="6"/>
  <c r="AE47" i="6"/>
  <c r="AD47" i="6"/>
  <c r="AC47" i="6"/>
  <c r="AB47" i="6"/>
  <c r="AA47" i="6"/>
  <c r="Z47" i="6"/>
  <c r="Y47" i="6"/>
  <c r="X47" i="6"/>
  <c r="W47" i="6"/>
  <c r="V47" i="6"/>
  <c r="AQ46" i="6"/>
  <c r="AP46" i="6"/>
  <c r="AO46" i="6"/>
  <c r="AN46" i="6"/>
  <c r="AM46" i="6"/>
  <c r="AL46" i="6"/>
  <c r="AK46" i="6"/>
  <c r="AJ46" i="6"/>
  <c r="AI46" i="6"/>
  <c r="AH46" i="6"/>
  <c r="AG46" i="6"/>
  <c r="AF46" i="6"/>
  <c r="AE46" i="6"/>
  <c r="AD46" i="6"/>
  <c r="AC46" i="6"/>
  <c r="AB46" i="6"/>
  <c r="AA46" i="6"/>
  <c r="Z46" i="6"/>
  <c r="Y46" i="6"/>
  <c r="X46" i="6"/>
  <c r="W46" i="6"/>
  <c r="V46" i="6"/>
  <c r="AQ45" i="6"/>
  <c r="AP45" i="6"/>
  <c r="AO45" i="6"/>
  <c r="AN45" i="6"/>
  <c r="AM45" i="6"/>
  <c r="AL45" i="6"/>
  <c r="AK45" i="6"/>
  <c r="AJ45" i="6"/>
  <c r="AI45" i="6"/>
  <c r="AH45" i="6"/>
  <c r="AG45" i="6"/>
  <c r="AF45" i="6"/>
  <c r="AE45" i="6"/>
  <c r="AD45" i="6"/>
  <c r="AC45" i="6"/>
  <c r="AB45" i="6"/>
  <c r="AA45" i="6"/>
  <c r="Z45" i="6"/>
  <c r="Y45" i="6"/>
  <c r="X45" i="6"/>
  <c r="W45" i="6"/>
  <c r="V45" i="6"/>
  <c r="AQ44" i="6"/>
  <c r="AP44" i="6"/>
  <c r="AO44" i="6"/>
  <c r="AN44" i="6"/>
  <c r="AM44" i="6"/>
  <c r="AL44" i="6"/>
  <c r="AK44" i="6"/>
  <c r="AJ44" i="6"/>
  <c r="AI44" i="6"/>
  <c r="AH44" i="6"/>
  <c r="AG44" i="6"/>
  <c r="AF44" i="6"/>
  <c r="AE44" i="6"/>
  <c r="AD44" i="6"/>
  <c r="AC44" i="6"/>
  <c r="AB44" i="6"/>
  <c r="AA44" i="6"/>
  <c r="Z44" i="6"/>
  <c r="Y44" i="6"/>
  <c r="X44" i="6"/>
  <c r="W44" i="6"/>
  <c r="V44" i="6"/>
  <c r="AQ43" i="6"/>
  <c r="AP43" i="6"/>
  <c r="AO43" i="6"/>
  <c r="AN43" i="6"/>
  <c r="AM43" i="6"/>
  <c r="AL43" i="6"/>
  <c r="AK43" i="6"/>
  <c r="AJ43" i="6"/>
  <c r="AI43" i="6"/>
  <c r="AH43" i="6"/>
  <c r="AG43" i="6"/>
  <c r="AF43" i="6"/>
  <c r="AE43" i="6"/>
  <c r="AD43" i="6"/>
  <c r="AC43" i="6"/>
  <c r="AB43" i="6"/>
  <c r="AA43" i="6"/>
  <c r="Z43" i="6"/>
  <c r="Y43" i="6"/>
  <c r="X43" i="6"/>
  <c r="W43" i="6"/>
  <c r="V43" i="6"/>
  <c r="BI37" i="4"/>
  <c r="BH37" i="4"/>
  <c r="BG37" i="4"/>
  <c r="BF37" i="4"/>
  <c r="BE37" i="4"/>
  <c r="BD37" i="4"/>
  <c r="BC37" i="4"/>
  <c r="BB37" i="4"/>
  <c r="BA37" i="4"/>
  <c r="AZ37"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H36" i="4"/>
  <c r="C70" i="6" s="1"/>
  <c r="G36" i="4"/>
  <c r="B68" i="7"/>
  <c r="C36" i="4"/>
  <c r="B50" i="7" s="1"/>
  <c r="H34" i="4"/>
  <c r="C68" i="6" s="1"/>
  <c r="G34" i="4"/>
  <c r="B66" i="7"/>
  <c r="C34" i="4"/>
  <c r="B48" i="7" s="1"/>
  <c r="BI10" i="4"/>
  <c r="BH10" i="4"/>
  <c r="BG10" i="4"/>
  <c r="BF10" i="4"/>
  <c r="BJ10" i="4"/>
  <c r="BE10" i="4"/>
  <c r="BD10" i="4"/>
  <c r="BC10" i="4"/>
  <c r="BB10" i="4"/>
  <c r="BA10" i="4"/>
  <c r="AZ10" i="4"/>
  <c r="AY10" i="4"/>
  <c r="AX10" i="4"/>
  <c r="AW10" i="4"/>
  <c r="AV10" i="4"/>
  <c r="AU10" i="4"/>
  <c r="AT10" i="4"/>
  <c r="AS10" i="4"/>
  <c r="AR10" i="4"/>
  <c r="AQ10" i="4"/>
  <c r="AP10" i="4"/>
  <c r="AO10" i="4"/>
  <c r="AN10" i="4"/>
  <c r="AM10" i="4"/>
  <c r="AL10" i="4"/>
  <c r="AK10" i="4"/>
  <c r="AJ10" i="4"/>
  <c r="AI10" i="4"/>
  <c r="AH10" i="4"/>
  <c r="AG10" i="4"/>
  <c r="AF10" i="4"/>
  <c r="AE10" i="4"/>
  <c r="AC10" i="4"/>
  <c r="AB10" i="4"/>
  <c r="AA10" i="4"/>
  <c r="B68" i="6" l="1"/>
  <c r="B70" i="6"/>
  <c r="Y55" i="6"/>
  <c r="AC55" i="6"/>
  <c r="AG55" i="6"/>
  <c r="AK55" i="6"/>
  <c r="AO55" i="6"/>
  <c r="W55" i="6"/>
  <c r="AE55" i="6"/>
  <c r="AM55" i="6"/>
  <c r="X55" i="6"/>
  <c r="AF55" i="6"/>
  <c r="AN55" i="6"/>
  <c r="V55" i="6"/>
  <c r="AD55" i="6"/>
  <c r="AP55" i="6"/>
  <c r="AB55" i="6"/>
  <c r="AJ55" i="6"/>
  <c r="Z55" i="6"/>
  <c r="AH55" i="6"/>
  <c r="AL55" i="6"/>
  <c r="AA55" i="6"/>
  <c r="AI55" i="6"/>
  <c r="AQ55" i="6"/>
  <c r="J34" i="19" l="1"/>
  <c r="J36" i="19" s="1"/>
  <c r="I34" i="19"/>
  <c r="I36" i="19" s="1"/>
  <c r="I68" i="11" l="1"/>
  <c r="H68" i="11"/>
  <c r="G68" i="11"/>
  <c r="F68" i="11"/>
  <c r="E68" i="11"/>
  <c r="D68" i="11"/>
  <c r="B61" i="11"/>
  <c r="B56" i="11"/>
  <c r="B51" i="11"/>
  <c r="D4" i="11"/>
  <c r="E4" i="11" s="1"/>
  <c r="F4" i="11" s="1"/>
  <c r="B2" i="11"/>
  <c r="C15" i="8"/>
  <c r="AP15" i="8" s="1"/>
  <c r="AQ14" i="8"/>
  <c r="AP14" i="8"/>
  <c r="AO14" i="8"/>
  <c r="AN14" i="8"/>
  <c r="AM14" i="8"/>
  <c r="AL14" i="8"/>
  <c r="AK14" i="8"/>
  <c r="AJ14" i="8"/>
  <c r="AI14" i="8"/>
  <c r="AH14" i="8"/>
  <c r="AG14" i="8"/>
  <c r="AF14" i="8"/>
  <c r="AE14" i="8"/>
  <c r="AD14" i="8"/>
  <c r="AC14" i="8"/>
  <c r="AB14" i="8"/>
  <c r="AA14" i="8"/>
  <c r="Z14" i="8"/>
  <c r="Y14" i="8"/>
  <c r="X14" i="8"/>
  <c r="W14" i="8"/>
  <c r="V14" i="8"/>
  <c r="U14" i="8"/>
  <c r="T14" i="8"/>
  <c r="S14" i="8"/>
  <c r="R14" i="8"/>
  <c r="Q14" i="8"/>
  <c r="P14" i="8"/>
  <c r="O14" i="8"/>
  <c r="N14" i="8"/>
  <c r="M14" i="8"/>
  <c r="L14" i="8"/>
  <c r="K14" i="8"/>
  <c r="J14" i="8"/>
  <c r="I14" i="8"/>
  <c r="H14" i="8"/>
  <c r="G14" i="8"/>
  <c r="F14" i="8"/>
  <c r="E14" i="8"/>
  <c r="D14" i="8"/>
  <c r="D11" i="8"/>
  <c r="E10" i="8"/>
  <c r="D10" i="8"/>
  <c r="D9" i="8"/>
  <c r="D8" i="8"/>
  <c r="AI5" i="8"/>
  <c r="AJ5" i="8" s="1"/>
  <c r="AK5" i="8" s="1"/>
  <c r="AL5" i="8" s="1"/>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BO5" i="8" s="1"/>
  <c r="BP5" i="8" s="1"/>
  <c r="B34" i="6"/>
  <c r="B33" i="6"/>
  <c r="B32" i="6"/>
  <c r="B31" i="6"/>
  <c r="B30" i="6"/>
  <c r="B29" i="6"/>
  <c r="B28" i="6"/>
  <c r="B27" i="6"/>
  <c r="B26" i="6"/>
  <c r="B43" i="6" s="1"/>
  <c r="B59" i="6" s="1"/>
  <c r="B16" i="6"/>
  <c r="B15" i="6"/>
  <c r="B14" i="6"/>
  <c r="B13" i="6"/>
  <c r="B12" i="6"/>
  <c r="B11" i="6"/>
  <c r="B10" i="6"/>
  <c r="B9" i="6"/>
  <c r="B8" i="6"/>
  <c r="D4" i="6"/>
  <c r="B2" i="6"/>
  <c r="B78" i="7"/>
  <c r="A50" i="7"/>
  <c r="A68" i="7" s="1"/>
  <c r="A48" i="7"/>
  <c r="A66" i="7" s="1"/>
  <c r="A29" i="7"/>
  <c r="A45" i="7" s="1"/>
  <c r="A63" i="7" s="1"/>
  <c r="A28" i="7"/>
  <c r="A44" i="7" s="1"/>
  <c r="A62" i="7" s="1"/>
  <c r="A27" i="7"/>
  <c r="A43" i="7" s="1"/>
  <c r="A61" i="7" s="1"/>
  <c r="A26" i="7"/>
  <c r="A42" i="7" s="1"/>
  <c r="A60" i="7" s="1"/>
  <c r="A25" i="7"/>
  <c r="A41" i="7" s="1"/>
  <c r="A59" i="7" s="1"/>
  <c r="A24" i="7"/>
  <c r="A40" i="7" s="1"/>
  <c r="A58" i="7" s="1"/>
  <c r="A23" i="7"/>
  <c r="A39" i="7" s="1"/>
  <c r="A57" i="7" s="1"/>
  <c r="A18" i="7"/>
  <c r="C14" i="7"/>
  <c r="D5" i="7"/>
  <c r="E5" i="7" s="1"/>
  <c r="F5" i="7" s="1"/>
  <c r="G5" i="7" s="1"/>
  <c r="H5" i="7" s="1"/>
  <c r="I5" i="7" s="1"/>
  <c r="J5" i="7" s="1"/>
  <c r="K5" i="7" s="1"/>
  <c r="L5" i="7" s="1"/>
  <c r="M5" i="7" s="1"/>
  <c r="N5" i="7" s="1"/>
  <c r="O5" i="7" s="1"/>
  <c r="P5" i="7" s="1"/>
  <c r="Q5" i="7" s="1"/>
  <c r="R5" i="7" s="1"/>
  <c r="S5" i="7" s="1"/>
  <c r="T5" i="7" s="1"/>
  <c r="U5" i="7" s="1"/>
  <c r="V5" i="7" s="1"/>
  <c r="W5" i="7" s="1"/>
  <c r="X5" i="7" s="1"/>
  <c r="Y5" i="7" s="1"/>
  <c r="Z5" i="7" s="1"/>
  <c r="AA5" i="7" s="1"/>
  <c r="AB5" i="7" s="1"/>
  <c r="AC5" i="7" s="1"/>
  <c r="AD5" i="7" s="1"/>
  <c r="AE5" i="7" s="1"/>
  <c r="AF5" i="7" s="1"/>
  <c r="AG5" i="7" s="1"/>
  <c r="AH5" i="7" s="1"/>
  <c r="AI5" i="7" s="1"/>
  <c r="AJ5" i="7" s="1"/>
  <c r="AK5" i="7" s="1"/>
  <c r="AL5" i="7" s="1"/>
  <c r="AM5" i="7" s="1"/>
  <c r="AN5" i="7" s="1"/>
  <c r="AO5" i="7" s="1"/>
  <c r="AP5" i="7" s="1"/>
  <c r="AQ5" i="7" s="1"/>
  <c r="AR5" i="7" s="1"/>
  <c r="AS5" i="7" s="1"/>
  <c r="AT5" i="7" s="1"/>
  <c r="AU5" i="7" s="1"/>
  <c r="AV5" i="7" s="1"/>
  <c r="AW5" i="7" s="1"/>
  <c r="AX5" i="7" s="1"/>
  <c r="AY5" i="7" s="1"/>
  <c r="AZ5" i="7" s="1"/>
  <c r="BA5" i="7" s="1"/>
  <c r="BB5" i="7" s="1"/>
  <c r="BC5" i="7" s="1"/>
  <c r="BD5" i="7" s="1"/>
  <c r="BE5" i="7" s="1"/>
  <c r="BF5" i="7" s="1"/>
  <c r="BG5" i="7" s="1"/>
  <c r="BH5" i="7" s="1"/>
  <c r="BI5" i="7" s="1"/>
  <c r="BJ5" i="7" s="1"/>
  <c r="BK5" i="7" s="1"/>
  <c r="C4" i="7"/>
  <c r="A2" i="7"/>
  <c r="BC17" i="3"/>
  <c r="BB17" i="3"/>
  <c r="BA17" i="3"/>
  <c r="AZ17" i="3"/>
  <c r="AY17" i="3"/>
  <c r="AX17" i="3"/>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R17" i="3"/>
  <c r="Q17" i="3"/>
  <c r="P17" i="3"/>
  <c r="O17" i="3"/>
  <c r="N17" i="3"/>
  <c r="M17" i="3"/>
  <c r="L17" i="3"/>
  <c r="K17" i="3"/>
  <c r="J17" i="3"/>
  <c r="I17" i="3"/>
  <c r="H17" i="3"/>
  <c r="G17" i="3"/>
  <c r="F17" i="3"/>
  <c r="E17" i="3"/>
  <c r="D17" i="3"/>
  <c r="C17" i="3"/>
  <c r="BC12" i="3"/>
  <c r="BB12" i="3"/>
  <c r="BA12" i="3"/>
  <c r="AZ12" i="3"/>
  <c r="AY12" i="3"/>
  <c r="AX12" i="3"/>
  <c r="AW12" i="3"/>
  <c r="AV12" i="3"/>
  <c r="AU12" i="3"/>
  <c r="AT12" i="3"/>
  <c r="AS12" i="3"/>
  <c r="AR12" i="3"/>
  <c r="AQ12" i="3"/>
  <c r="AP12" i="3"/>
  <c r="AO12" i="3"/>
  <c r="AN12" i="3"/>
  <c r="AM12" i="3"/>
  <c r="AL12" i="3"/>
  <c r="AK12" i="3"/>
  <c r="AJ12" i="3"/>
  <c r="AI12" i="3"/>
  <c r="AH12" i="3"/>
  <c r="AG12" i="3"/>
  <c r="AF12" i="3"/>
  <c r="AE12" i="3"/>
  <c r="AD12" i="3"/>
  <c r="AC12" i="3"/>
  <c r="AB12" i="3"/>
  <c r="AA12" i="3"/>
  <c r="Z12" i="3"/>
  <c r="Y12" i="3"/>
  <c r="X12" i="3"/>
  <c r="W12" i="3"/>
  <c r="V12" i="3"/>
  <c r="U12" i="3"/>
  <c r="T12" i="3"/>
  <c r="S12" i="3"/>
  <c r="R12" i="3"/>
  <c r="Q12" i="3"/>
  <c r="P12" i="3"/>
  <c r="O12" i="3"/>
  <c r="N12" i="3"/>
  <c r="M12" i="3"/>
  <c r="L12" i="3"/>
  <c r="K12" i="3"/>
  <c r="J12" i="3"/>
  <c r="I12" i="3"/>
  <c r="H12" i="3"/>
  <c r="G12" i="3"/>
  <c r="F12" i="3"/>
  <c r="E12" i="3"/>
  <c r="D12" i="3"/>
  <c r="C12" i="3"/>
  <c r="C4" i="3"/>
  <c r="B2" i="3"/>
  <c r="BC12" i="10"/>
  <c r="BD13" i="11" s="1"/>
  <c r="BB12" i="10"/>
  <c r="BC13" i="11" s="1"/>
  <c r="BA12" i="10"/>
  <c r="BB13" i="11" s="1"/>
  <c r="AZ12" i="10"/>
  <c r="BA13" i="11" s="1"/>
  <c r="AY12" i="10"/>
  <c r="AZ13" i="11" s="1"/>
  <c r="AX12" i="10"/>
  <c r="AY13" i="11" s="1"/>
  <c r="AW12" i="10"/>
  <c r="AX13" i="11" s="1"/>
  <c r="AV12" i="10"/>
  <c r="AW13" i="11" s="1"/>
  <c r="AU12" i="10"/>
  <c r="AV13" i="11" s="1"/>
  <c r="AT12" i="10"/>
  <c r="AU13" i="11" s="1"/>
  <c r="AS12" i="10"/>
  <c r="AT13" i="11" s="1"/>
  <c r="AR12" i="10"/>
  <c r="AS13" i="11" s="1"/>
  <c r="AQ12" i="10"/>
  <c r="AR13" i="11" s="1"/>
  <c r="C4" i="10"/>
  <c r="B2" i="10"/>
  <c r="BC46" i="9"/>
  <c r="BB46" i="9"/>
  <c r="BA46" i="9"/>
  <c r="AZ46" i="9"/>
  <c r="AY46" i="9"/>
  <c r="AX46" i="9"/>
  <c r="AW46" i="9"/>
  <c r="AV46" i="9"/>
  <c r="AU46" i="9"/>
  <c r="AT46" i="9"/>
  <c r="AS46" i="9"/>
  <c r="AR46" i="9"/>
  <c r="C46" i="9"/>
  <c r="B30" i="9"/>
  <c r="BC22" i="9"/>
  <c r="BB22" i="9"/>
  <c r="BA22" i="9"/>
  <c r="AZ22" i="9"/>
  <c r="AY22" i="9"/>
  <c r="AX22" i="9"/>
  <c r="AW22" i="9"/>
  <c r="AV22" i="9"/>
  <c r="AU22" i="9"/>
  <c r="AT22" i="9"/>
  <c r="AS22" i="9"/>
  <c r="AR22" i="9"/>
  <c r="AQ22" i="9"/>
  <c r="C4" i="9"/>
  <c r="B2" i="9"/>
  <c r="H33" i="4"/>
  <c r="C67" i="6" s="1"/>
  <c r="G33" i="4"/>
  <c r="H32" i="4"/>
  <c r="C66" i="6" s="1"/>
  <c r="G32" i="4"/>
  <c r="H31" i="4"/>
  <c r="C65" i="6" s="1"/>
  <c r="G31" i="4"/>
  <c r="H30" i="4"/>
  <c r="C64" i="6" s="1"/>
  <c r="G30" i="4"/>
  <c r="H29" i="4"/>
  <c r="C63" i="6" s="1"/>
  <c r="G29" i="4"/>
  <c r="H28" i="4"/>
  <c r="C62" i="6" s="1"/>
  <c r="G28" i="4"/>
  <c r="H27" i="4"/>
  <c r="C61" i="6" s="1"/>
  <c r="G27" i="4"/>
  <c r="H26" i="4"/>
  <c r="C60" i="6" s="1"/>
  <c r="G26" i="4"/>
  <c r="H25" i="4"/>
  <c r="C59" i="6" s="1"/>
  <c r="G25" i="4"/>
  <c r="B65" i="7"/>
  <c r="C33" i="4"/>
  <c r="B47" i="7" s="1"/>
  <c r="B64" i="7"/>
  <c r="C32" i="4"/>
  <c r="B46" i="7" s="1"/>
  <c r="C14" i="6"/>
  <c r="B63" i="7"/>
  <c r="C31" i="4"/>
  <c r="B45" i="7" s="1"/>
  <c r="B28" i="7"/>
  <c r="B62" i="7"/>
  <c r="C30" i="4"/>
  <c r="B44" i="7" s="1"/>
  <c r="C12" i="6"/>
  <c r="B61" i="7"/>
  <c r="C29" i="4"/>
  <c r="B43" i="7" s="1"/>
  <c r="B26" i="7"/>
  <c r="B60" i="7"/>
  <c r="C28" i="4"/>
  <c r="B42" i="7" s="1"/>
  <c r="C10" i="6"/>
  <c r="B59" i="7"/>
  <c r="C27" i="4"/>
  <c r="B41" i="7" s="1"/>
  <c r="B24" i="7"/>
  <c r="B58" i="7"/>
  <c r="C26" i="4"/>
  <c r="B40" i="7" s="1"/>
  <c r="B23" i="7"/>
  <c r="B57" i="7"/>
  <c r="C25" i="4"/>
  <c r="B39" i="7" s="1"/>
  <c r="I4" i="4"/>
  <c r="I23" i="4" s="1"/>
  <c r="B2" i="4"/>
  <c r="K59" i="19"/>
  <c r="J59" i="19"/>
  <c r="I59" i="19"/>
  <c r="H59" i="19"/>
  <c r="G59" i="19"/>
  <c r="F59" i="19"/>
  <c r="E59" i="19"/>
  <c r="D59" i="19"/>
  <c r="C59" i="19"/>
  <c r="K39" i="19"/>
  <c r="J39" i="19"/>
  <c r="I39" i="19"/>
  <c r="H39" i="19"/>
  <c r="G39" i="19"/>
  <c r="F39" i="19"/>
  <c r="E39" i="19"/>
  <c r="D39" i="19"/>
  <c r="C39" i="19"/>
  <c r="B36" i="19"/>
  <c r="J30" i="19"/>
  <c r="I30" i="19"/>
  <c r="H30" i="19"/>
  <c r="G30" i="19"/>
  <c r="F30" i="19"/>
  <c r="E30" i="19"/>
  <c r="D30" i="19"/>
  <c r="K18" i="19"/>
  <c r="J18" i="19"/>
  <c r="I18" i="19"/>
  <c r="H18" i="19"/>
  <c r="G18" i="19"/>
  <c r="F18" i="19"/>
  <c r="E18" i="19"/>
  <c r="D18" i="19"/>
  <c r="C18" i="19"/>
  <c r="C14" i="19"/>
  <c r="E9" i="8" l="1"/>
  <c r="F9" i="8" s="1"/>
  <c r="F10" i="8"/>
  <c r="E8" i="8"/>
  <c r="F8" i="8" s="1"/>
  <c r="AB15" i="8"/>
  <c r="D18" i="6"/>
  <c r="C33" i="7" s="1"/>
  <c r="C49" i="7" s="1"/>
  <c r="B46" i="6"/>
  <c r="B62" i="6" s="1"/>
  <c r="B50" i="6"/>
  <c r="B66" i="6" s="1"/>
  <c r="B47" i="6"/>
  <c r="B63" i="6" s="1"/>
  <c r="B45" i="6"/>
  <c r="B61" i="6" s="1"/>
  <c r="B49" i="6"/>
  <c r="B65" i="6" s="1"/>
  <c r="B51" i="6"/>
  <c r="B67" i="6" s="1"/>
  <c r="B44" i="6"/>
  <c r="B60" i="6" s="1"/>
  <c r="B48" i="6"/>
  <c r="B64" i="6" s="1"/>
  <c r="D4" i="7"/>
  <c r="D17" i="6"/>
  <c r="C32" i="7" s="1"/>
  <c r="D19" i="6"/>
  <c r="C34" i="7" s="1"/>
  <c r="Z12" i="10"/>
  <c r="AA13" i="11" s="1"/>
  <c r="AD12" i="10"/>
  <c r="AE13" i="11" s="1"/>
  <c r="AH12" i="10"/>
  <c r="AI13" i="11" s="1"/>
  <c r="AL12" i="10"/>
  <c r="AM13" i="11" s="1"/>
  <c r="AA12" i="10"/>
  <c r="AB13" i="11" s="1"/>
  <c r="AE12" i="10"/>
  <c r="AF13" i="11" s="1"/>
  <c r="AI12" i="10"/>
  <c r="AJ13" i="11" s="1"/>
  <c r="AM12" i="10"/>
  <c r="AN13" i="11" s="1"/>
  <c r="AB12" i="10"/>
  <c r="AC13" i="11" s="1"/>
  <c r="AF12" i="10"/>
  <c r="AG13" i="11" s="1"/>
  <c r="AJ12" i="10"/>
  <c r="AK13" i="11" s="1"/>
  <c r="AN12" i="10"/>
  <c r="AO13" i="11" s="1"/>
  <c r="X12" i="10"/>
  <c r="Y13" i="11" s="1"/>
  <c r="AC12" i="10"/>
  <c r="AD13" i="11" s="1"/>
  <c r="AG12" i="10"/>
  <c r="AH13" i="11" s="1"/>
  <c r="AK12" i="10"/>
  <c r="AL13" i="11" s="1"/>
  <c r="AP12" i="10"/>
  <c r="AQ13" i="11" s="1"/>
  <c r="C8" i="6"/>
  <c r="L15" i="8"/>
  <c r="C16" i="6"/>
  <c r="B27" i="7"/>
  <c r="C9" i="6"/>
  <c r="C13" i="6"/>
  <c r="D13" i="6" s="1"/>
  <c r="C28" i="7" s="1"/>
  <c r="B25" i="7"/>
  <c r="C11" i="6"/>
  <c r="D11" i="6" s="1"/>
  <c r="C26" i="7" s="1"/>
  <c r="C15" i="6"/>
  <c r="D15" i="6" s="1"/>
  <c r="D4" i="3"/>
  <c r="E4" i="3" s="1"/>
  <c r="D4" i="10"/>
  <c r="J4" i="4"/>
  <c r="J1" i="4" s="1"/>
  <c r="D10" i="9" s="1"/>
  <c r="C11" i="3"/>
  <c r="E4" i="6"/>
  <c r="P15" i="8"/>
  <c r="H15" i="8"/>
  <c r="X15" i="8"/>
  <c r="AN15" i="8"/>
  <c r="AF15" i="8"/>
  <c r="D15" i="8"/>
  <c r="T15" i="8"/>
  <c r="AJ15" i="8"/>
  <c r="C30" i="19"/>
  <c r="G4" i="11"/>
  <c r="G15" i="8"/>
  <c r="K15" i="8"/>
  <c r="O15" i="8"/>
  <c r="S15" i="8"/>
  <c r="W15" i="8"/>
  <c r="AA15" i="8"/>
  <c r="AE15" i="8"/>
  <c r="AI15" i="8"/>
  <c r="AM15" i="8"/>
  <c r="E11" i="8"/>
  <c r="E15" i="8"/>
  <c r="I15" i="8"/>
  <c r="M15" i="8"/>
  <c r="Q15" i="8"/>
  <c r="U15" i="8"/>
  <c r="Y15" i="8"/>
  <c r="AC15" i="8"/>
  <c r="AG15" i="8"/>
  <c r="AK15" i="8"/>
  <c r="AO15" i="8"/>
  <c r="F11" i="8"/>
  <c r="F15" i="8"/>
  <c r="J15" i="8"/>
  <c r="N15" i="8"/>
  <c r="R15" i="8"/>
  <c r="V15" i="8"/>
  <c r="Z15" i="8"/>
  <c r="AD15" i="8"/>
  <c r="AH15" i="8"/>
  <c r="AL15" i="8"/>
  <c r="D10" i="6"/>
  <c r="C25" i="7" s="1"/>
  <c r="D12" i="6"/>
  <c r="C27" i="7" s="1"/>
  <c r="F4" i="3"/>
  <c r="B46" i="9"/>
  <c r="B47" i="9"/>
  <c r="B45" i="9"/>
  <c r="D4" i="9"/>
  <c r="I1" i="4"/>
  <c r="C10" i="9" s="1"/>
  <c r="G9" i="8" l="1"/>
  <c r="I9" i="8"/>
  <c r="G8" i="8"/>
  <c r="G10" i="8"/>
  <c r="K10" i="8" s="1"/>
  <c r="C67" i="7"/>
  <c r="E4" i="7"/>
  <c r="F4" i="7" s="1"/>
  <c r="C59" i="7"/>
  <c r="E18" i="6"/>
  <c r="D33" i="7" s="1"/>
  <c r="D49" i="7" s="1"/>
  <c r="D16" i="6"/>
  <c r="C31" i="7" s="1"/>
  <c r="C61" i="7"/>
  <c r="C42" i="7"/>
  <c r="C60" i="7"/>
  <c r="C50" i="7"/>
  <c r="C68" i="7"/>
  <c r="C44" i="7"/>
  <c r="C62" i="7"/>
  <c r="C48" i="7"/>
  <c r="C66" i="7"/>
  <c r="C43" i="7"/>
  <c r="C41" i="7"/>
  <c r="J23" i="4"/>
  <c r="D54" i="6"/>
  <c r="D51" i="6"/>
  <c r="D52" i="6"/>
  <c r="C30" i="7"/>
  <c r="E17" i="6"/>
  <c r="D32" i="7" s="1"/>
  <c r="E19" i="6"/>
  <c r="D34" i="7" s="1"/>
  <c r="AO12" i="10"/>
  <c r="AP13" i="11" s="1"/>
  <c r="U12" i="10"/>
  <c r="V13" i="11" s="1"/>
  <c r="Y12" i="10"/>
  <c r="Z13" i="11" s="1"/>
  <c r="V12" i="10"/>
  <c r="W13" i="11" s="1"/>
  <c r="W12" i="10"/>
  <c r="X13" i="11" s="1"/>
  <c r="D9" i="6"/>
  <c r="C24" i="7" s="1"/>
  <c r="E4" i="10"/>
  <c r="E16" i="6"/>
  <c r="E14" i="6"/>
  <c r="E10" i="6"/>
  <c r="D25" i="7" s="1"/>
  <c r="F4" i="6"/>
  <c r="E12" i="6"/>
  <c r="D27" i="7" s="1"/>
  <c r="C9" i="9"/>
  <c r="D12" i="11" s="1"/>
  <c r="K4" i="4"/>
  <c r="H4" i="11"/>
  <c r="G11" i="8"/>
  <c r="G4" i="3"/>
  <c r="E4" i="9"/>
  <c r="D67" i="7" l="1"/>
  <c r="F18" i="6"/>
  <c r="E33" i="7" s="1"/>
  <c r="E49" i="7" s="1"/>
  <c r="F59" i="6"/>
  <c r="D43" i="7"/>
  <c r="D61" i="7"/>
  <c r="C46" i="7"/>
  <c r="C64" i="7"/>
  <c r="D41" i="7"/>
  <c r="D59" i="7"/>
  <c r="D50" i="7"/>
  <c r="D68" i="7"/>
  <c r="C47" i="7"/>
  <c r="C65" i="7"/>
  <c r="C40" i="7"/>
  <c r="C58" i="7"/>
  <c r="D48" i="7"/>
  <c r="D66" i="7"/>
  <c r="K23" i="4"/>
  <c r="E52" i="6"/>
  <c r="E51" i="6"/>
  <c r="E54" i="6"/>
  <c r="D48" i="6"/>
  <c r="D49" i="6"/>
  <c r="D46" i="6"/>
  <c r="D47" i="6"/>
  <c r="D45" i="6"/>
  <c r="D44" i="6"/>
  <c r="D31" i="7"/>
  <c r="I37" i="4"/>
  <c r="D50" i="6"/>
  <c r="F19" i="6"/>
  <c r="E34" i="7" s="1"/>
  <c r="F17" i="6"/>
  <c r="E32" i="7" s="1"/>
  <c r="F4" i="10"/>
  <c r="G4" i="6"/>
  <c r="F15" i="6"/>
  <c r="F12" i="6"/>
  <c r="E27" i="7" s="1"/>
  <c r="F8" i="6"/>
  <c r="L4" i="4"/>
  <c r="K1" i="4"/>
  <c r="E10" i="9" s="1"/>
  <c r="I4" i="11"/>
  <c r="J4" i="11" s="1"/>
  <c r="K4" i="11" s="1"/>
  <c r="L4" i="11" s="1"/>
  <c r="M4" i="11" s="1"/>
  <c r="N4" i="11" s="1"/>
  <c r="O4" i="11" s="1"/>
  <c r="P4" i="11" s="1"/>
  <c r="Q4" i="11" s="1"/>
  <c r="R4" i="11" s="1"/>
  <c r="S4" i="11" s="1"/>
  <c r="T4" i="11" s="1"/>
  <c r="U4" i="11" s="1"/>
  <c r="V4" i="11" s="1"/>
  <c r="W4" i="11" s="1"/>
  <c r="X4" i="11" s="1"/>
  <c r="Y4" i="11" s="1"/>
  <c r="Z4" i="11" s="1"/>
  <c r="AA4" i="11" s="1"/>
  <c r="AB4" i="11" s="1"/>
  <c r="AC4" i="11" s="1"/>
  <c r="AD4" i="11" s="1"/>
  <c r="AE4" i="11" s="1"/>
  <c r="AF4" i="11" s="1"/>
  <c r="AG4" i="11" s="1"/>
  <c r="AH4" i="11" s="1"/>
  <c r="AI4" i="11" s="1"/>
  <c r="AJ4" i="11" s="1"/>
  <c r="AK4" i="11" s="1"/>
  <c r="AL4" i="11" s="1"/>
  <c r="AM4" i="11" s="1"/>
  <c r="AN4" i="11" s="1"/>
  <c r="AO4" i="11" s="1"/>
  <c r="AP4" i="11" s="1"/>
  <c r="AQ4" i="11" s="1"/>
  <c r="AR4" i="11" s="1"/>
  <c r="AS4" i="11" s="1"/>
  <c r="AT4" i="11" s="1"/>
  <c r="AU4" i="11" s="1"/>
  <c r="AV4" i="11" s="1"/>
  <c r="AW4" i="11" s="1"/>
  <c r="AX4" i="11" s="1"/>
  <c r="AY4" i="11" s="1"/>
  <c r="AZ4" i="11" s="1"/>
  <c r="BA4" i="11" s="1"/>
  <c r="BB4" i="11" s="1"/>
  <c r="BC4" i="11" s="1"/>
  <c r="BD4" i="11" s="1"/>
  <c r="H11" i="8"/>
  <c r="G4" i="7"/>
  <c r="H4" i="3"/>
  <c r="F4" i="9"/>
  <c r="E67" i="7" l="1"/>
  <c r="G18" i="6"/>
  <c r="F33" i="7" s="1"/>
  <c r="G60" i="6"/>
  <c r="G59" i="6"/>
  <c r="G4" i="10"/>
  <c r="H4" i="10" s="1"/>
  <c r="E43" i="7"/>
  <c r="E61" i="7"/>
  <c r="E50" i="7"/>
  <c r="E68" i="7"/>
  <c r="D47" i="7"/>
  <c r="D65" i="7"/>
  <c r="E48" i="7"/>
  <c r="E66" i="7"/>
  <c r="D55" i="6"/>
  <c r="E48" i="6"/>
  <c r="E49" i="6"/>
  <c r="L23" i="4"/>
  <c r="F52" i="6"/>
  <c r="F51" i="6"/>
  <c r="F54" i="6"/>
  <c r="E45" i="6"/>
  <c r="E46" i="6"/>
  <c r="E50" i="6"/>
  <c r="E47" i="6"/>
  <c r="E43" i="6"/>
  <c r="J37" i="4"/>
  <c r="D24" i="19" s="1"/>
  <c r="G19" i="6"/>
  <c r="F34" i="7" s="1"/>
  <c r="H4" i="6"/>
  <c r="L1" i="4"/>
  <c r="F10" i="9" s="1"/>
  <c r="M4" i="4"/>
  <c r="M1" i="4" s="1"/>
  <c r="M11" i="8"/>
  <c r="K11" i="8"/>
  <c r="I11" i="8"/>
  <c r="J11" i="8" s="1"/>
  <c r="H4" i="7"/>
  <c r="I4" i="3"/>
  <c r="G4" i="9"/>
  <c r="L11" i="8" l="1"/>
  <c r="D28" i="19"/>
  <c r="F67" i="7"/>
  <c r="F49" i="7"/>
  <c r="H59" i="6"/>
  <c r="H60" i="6"/>
  <c r="H61" i="6"/>
  <c r="F50" i="7"/>
  <c r="F68" i="7"/>
  <c r="F43" i="6"/>
  <c r="F26" i="6" s="1"/>
  <c r="K37" i="4"/>
  <c r="E24" i="19" s="1"/>
  <c r="D8" i="6"/>
  <c r="F47" i="6"/>
  <c r="F49" i="6"/>
  <c r="D64" i="19"/>
  <c r="C12" i="10"/>
  <c r="D13" i="11" s="1"/>
  <c r="F44" i="6"/>
  <c r="F50" i="6"/>
  <c r="F46" i="6"/>
  <c r="M23" i="4"/>
  <c r="G51" i="6"/>
  <c r="G54" i="6"/>
  <c r="G52" i="6"/>
  <c r="E55" i="6"/>
  <c r="D12" i="10" s="1"/>
  <c r="E13" i="11" s="1"/>
  <c r="F48" i="6"/>
  <c r="H17" i="6"/>
  <c r="H19" i="6"/>
  <c r="G34" i="7" s="1"/>
  <c r="H10" i="6"/>
  <c r="I4" i="6"/>
  <c r="N4" i="4"/>
  <c r="G10" i="9"/>
  <c r="N11" i="8"/>
  <c r="I4" i="7"/>
  <c r="J4" i="3"/>
  <c r="I4" i="10"/>
  <c r="H4" i="9"/>
  <c r="E28" i="19" l="1"/>
  <c r="I18" i="6"/>
  <c r="I61" i="6"/>
  <c r="I62" i="6"/>
  <c r="I60" i="6"/>
  <c r="I59" i="6"/>
  <c r="G50" i="7"/>
  <c r="G68" i="7"/>
  <c r="F55" i="6"/>
  <c r="G45" i="6"/>
  <c r="C23" i="7"/>
  <c r="G44" i="6"/>
  <c r="G27" i="6" s="1"/>
  <c r="G9" i="6" s="1"/>
  <c r="G48" i="6"/>
  <c r="G43" i="6"/>
  <c r="L37" i="4"/>
  <c r="F24" i="19" s="1"/>
  <c r="G47" i="6"/>
  <c r="N23" i="4"/>
  <c r="H54" i="6"/>
  <c r="H51" i="6"/>
  <c r="H44" i="6"/>
  <c r="H27" i="6" s="1"/>
  <c r="H9" i="6" s="1"/>
  <c r="H52" i="6"/>
  <c r="F28" i="19"/>
  <c r="G49" i="6"/>
  <c r="G50" i="6"/>
  <c r="I17" i="6"/>
  <c r="G8" i="6"/>
  <c r="I9" i="6"/>
  <c r="I15" i="6"/>
  <c r="I8" i="6"/>
  <c r="I14" i="6"/>
  <c r="H8" i="6"/>
  <c r="I10" i="6"/>
  <c r="J4" i="6"/>
  <c r="I16" i="6"/>
  <c r="O4" i="4"/>
  <c r="N1" i="4"/>
  <c r="H10" i="9" s="1"/>
  <c r="J4" i="7"/>
  <c r="K4" i="3"/>
  <c r="J4" i="10"/>
  <c r="I4" i="9"/>
  <c r="B62" i="1"/>
  <c r="C16" i="1"/>
  <c r="B63" i="1" l="1"/>
  <c r="D55" i="11"/>
  <c r="D50" i="11"/>
  <c r="E50" i="11"/>
  <c r="E60" i="11" s="1"/>
  <c r="C42" i="9"/>
  <c r="E55" i="11"/>
  <c r="C41" i="9"/>
  <c r="D41" i="9"/>
  <c r="D43" i="9" s="1"/>
  <c r="D42" i="9"/>
  <c r="J18" i="6"/>
  <c r="J62" i="6"/>
  <c r="J59" i="6"/>
  <c r="J60" i="6"/>
  <c r="J61" i="6"/>
  <c r="J63" i="6"/>
  <c r="C39" i="7"/>
  <c r="C57" i="7"/>
  <c r="O23" i="4"/>
  <c r="I44" i="6"/>
  <c r="I27" i="6" s="1"/>
  <c r="I54" i="6"/>
  <c r="I52" i="6"/>
  <c r="I51" i="6"/>
  <c r="H50" i="6"/>
  <c r="H49" i="6"/>
  <c r="H45" i="6"/>
  <c r="H28" i="6" s="1"/>
  <c r="G55" i="6"/>
  <c r="F12" i="10" s="1"/>
  <c r="G13" i="11" s="1"/>
  <c r="G26" i="6"/>
  <c r="E12" i="10"/>
  <c r="F13" i="11" s="1"/>
  <c r="F64" i="19"/>
  <c r="H43" i="6"/>
  <c r="M37" i="4"/>
  <c r="G24" i="19" s="1"/>
  <c r="G28" i="19" s="1"/>
  <c r="H46" i="6"/>
  <c r="H48" i="6"/>
  <c r="F10" i="6"/>
  <c r="J19" i="6"/>
  <c r="J17" i="6"/>
  <c r="K4" i="6"/>
  <c r="J11" i="6"/>
  <c r="J10" i="6"/>
  <c r="J16" i="6"/>
  <c r="J9" i="6"/>
  <c r="J15" i="6"/>
  <c r="J12" i="6"/>
  <c r="P4" i="4"/>
  <c r="O1" i="4"/>
  <c r="I10" i="9" s="1"/>
  <c r="K4" i="7"/>
  <c r="L4" i="3"/>
  <c r="K4" i="10"/>
  <c r="J4" i="9"/>
  <c r="C43" i="9" l="1"/>
  <c r="B64" i="1"/>
  <c r="D60" i="11"/>
  <c r="K18" i="6"/>
  <c r="K9" i="6"/>
  <c r="K62" i="6"/>
  <c r="K59" i="6"/>
  <c r="K61" i="6"/>
  <c r="K64" i="6"/>
  <c r="K60" i="6"/>
  <c r="K63" i="6"/>
  <c r="K10" i="6"/>
  <c r="G12" i="6"/>
  <c r="F27" i="7" s="1"/>
  <c r="F61" i="7" s="1"/>
  <c r="K8" i="6"/>
  <c r="I46" i="6"/>
  <c r="I29" i="6" s="1"/>
  <c r="I11" i="6" s="1"/>
  <c r="I45" i="6"/>
  <c r="I28" i="6" s="1"/>
  <c r="P23" i="4"/>
  <c r="J52" i="6"/>
  <c r="J51" i="6"/>
  <c r="J54" i="6"/>
  <c r="I49" i="6"/>
  <c r="I50" i="6"/>
  <c r="H55" i="6"/>
  <c r="H26" i="6"/>
  <c r="I47" i="6"/>
  <c r="E25" i="7"/>
  <c r="I43" i="6"/>
  <c r="N37" i="4"/>
  <c r="H24" i="19" s="1"/>
  <c r="H28" i="19" s="1"/>
  <c r="K19" i="6"/>
  <c r="K17" i="6"/>
  <c r="K12" i="6"/>
  <c r="L4" i="6"/>
  <c r="K11" i="6"/>
  <c r="K13" i="6"/>
  <c r="J8" i="6"/>
  <c r="Q4" i="4"/>
  <c r="P1" i="4"/>
  <c r="J10" i="9" s="1"/>
  <c r="L4" i="7"/>
  <c r="M4" i="3"/>
  <c r="L4" i="10"/>
  <c r="K4" i="9"/>
  <c r="B65" i="1" l="1"/>
  <c r="E41" i="9"/>
  <c r="F42" i="9"/>
  <c r="G50" i="11"/>
  <c r="H50" i="11"/>
  <c r="H55" i="11"/>
  <c r="F55" i="11"/>
  <c r="E42" i="9"/>
  <c r="G42" i="9"/>
  <c r="G55" i="11"/>
  <c r="F41" i="9"/>
  <c r="F43" i="9" s="1"/>
  <c r="F50" i="11"/>
  <c r="F60" i="11" s="1"/>
  <c r="H42" i="9"/>
  <c r="I42" i="9" s="1"/>
  <c r="L18" i="6"/>
  <c r="F43" i="7"/>
  <c r="L65" i="6"/>
  <c r="L62" i="6"/>
  <c r="L64" i="6"/>
  <c r="L59" i="6"/>
  <c r="L61" i="6"/>
  <c r="L63" i="6"/>
  <c r="L60" i="6"/>
  <c r="H13" i="6"/>
  <c r="E41" i="7"/>
  <c r="E59" i="7"/>
  <c r="I55" i="6"/>
  <c r="I26" i="6"/>
  <c r="J47" i="6"/>
  <c r="J30" i="6" s="1"/>
  <c r="J43" i="6"/>
  <c r="O37" i="4"/>
  <c r="I24" i="19" s="1"/>
  <c r="J46" i="6"/>
  <c r="J29" i="6" s="1"/>
  <c r="Q23" i="4"/>
  <c r="K52" i="6"/>
  <c r="K49" i="6"/>
  <c r="K51" i="6"/>
  <c r="K46" i="6"/>
  <c r="K29" i="6" s="1"/>
  <c r="K54" i="6"/>
  <c r="K48" i="6"/>
  <c r="K31" i="6" s="1"/>
  <c r="K45" i="6"/>
  <c r="K28" i="6" s="1"/>
  <c r="K47" i="6"/>
  <c r="K30" i="6" s="1"/>
  <c r="K44" i="6"/>
  <c r="K27" i="6" s="1"/>
  <c r="J45" i="6"/>
  <c r="J28" i="6" s="1"/>
  <c r="J48" i="6"/>
  <c r="H64" i="19"/>
  <c r="G12" i="10"/>
  <c r="H13" i="11" s="1"/>
  <c r="J44" i="6"/>
  <c r="J27" i="6" s="1"/>
  <c r="J50" i="6"/>
  <c r="L17" i="6"/>
  <c r="L19" i="6"/>
  <c r="L9" i="6"/>
  <c r="L8" i="6"/>
  <c r="M4" i="6"/>
  <c r="L13" i="6"/>
  <c r="L14" i="6"/>
  <c r="L12" i="6"/>
  <c r="L11" i="6"/>
  <c r="L10" i="6"/>
  <c r="Q1" i="4"/>
  <c r="K10" i="9" s="1"/>
  <c r="R4" i="4"/>
  <c r="M4" i="7"/>
  <c r="N4" i="3"/>
  <c r="M4" i="10"/>
  <c r="L4" i="9"/>
  <c r="E43" i="9" l="1"/>
  <c r="H60" i="11"/>
  <c r="J42" i="9"/>
  <c r="K42" i="9" s="1"/>
  <c r="G41" i="9"/>
  <c r="G60" i="11"/>
  <c r="I28" i="19"/>
  <c r="M18" i="6"/>
  <c r="M13" i="6"/>
  <c r="M64" i="6"/>
  <c r="M59" i="6"/>
  <c r="M65" i="6"/>
  <c r="M61" i="6"/>
  <c r="M63" i="6"/>
  <c r="M62" i="6"/>
  <c r="M60" i="6"/>
  <c r="M66" i="6"/>
  <c r="R23" i="4"/>
  <c r="L54" i="6"/>
  <c r="L47" i="6"/>
  <c r="L30" i="6" s="1"/>
  <c r="L45" i="6"/>
  <c r="L28" i="6" s="1"/>
  <c r="L46" i="6"/>
  <c r="L29" i="6" s="1"/>
  <c r="L48" i="6"/>
  <c r="L31" i="6" s="1"/>
  <c r="L52" i="6"/>
  <c r="H12" i="10"/>
  <c r="I13" i="11" s="1"/>
  <c r="I64" i="19"/>
  <c r="K43" i="6"/>
  <c r="K26" i="6" s="1"/>
  <c r="P37" i="4"/>
  <c r="J55" i="6"/>
  <c r="J26" i="6"/>
  <c r="M12" i="6"/>
  <c r="M10" i="6"/>
  <c r="M14" i="6"/>
  <c r="N4" i="6"/>
  <c r="M11" i="6"/>
  <c r="M8" i="6"/>
  <c r="M9" i="6"/>
  <c r="M19" i="6"/>
  <c r="R1" i="4"/>
  <c r="L10" i="9" s="1"/>
  <c r="S4" i="4"/>
  <c r="N4" i="7"/>
  <c r="O4" i="3"/>
  <c r="N4" i="10"/>
  <c r="L42" i="9"/>
  <c r="M4" i="9"/>
  <c r="G43" i="9" l="1"/>
  <c r="H41" i="9"/>
  <c r="N10" i="6"/>
  <c r="N18" i="6"/>
  <c r="N8" i="6"/>
  <c r="I13" i="6"/>
  <c r="N67" i="6"/>
  <c r="N62" i="6"/>
  <c r="N59" i="6"/>
  <c r="N63" i="6"/>
  <c r="N60" i="6"/>
  <c r="N66" i="6"/>
  <c r="N61" i="6"/>
  <c r="N64" i="6"/>
  <c r="N65" i="6"/>
  <c r="N15" i="6"/>
  <c r="O4" i="6"/>
  <c r="N11" i="6"/>
  <c r="K16" i="6"/>
  <c r="K55" i="6"/>
  <c r="J12" i="10" s="1"/>
  <c r="K13" i="11" s="1"/>
  <c r="S23" i="4"/>
  <c r="M44" i="6"/>
  <c r="M27" i="6" s="1"/>
  <c r="M51" i="6"/>
  <c r="M48" i="6"/>
  <c r="M31" i="6" s="1"/>
  <c r="M54" i="6"/>
  <c r="M50" i="6"/>
  <c r="M33" i="6" s="1"/>
  <c r="M15" i="6" s="1"/>
  <c r="M49" i="6"/>
  <c r="M32" i="6" s="1"/>
  <c r="L43" i="6"/>
  <c r="Q37" i="4"/>
  <c r="L49" i="6"/>
  <c r="L32" i="6" s="1"/>
  <c r="I12" i="10"/>
  <c r="J13" i="11" s="1"/>
  <c r="L50" i="6"/>
  <c r="L44" i="6"/>
  <c r="L27" i="6" s="1"/>
  <c r="N12" i="6"/>
  <c r="N9" i="6"/>
  <c r="N14" i="6"/>
  <c r="N13" i="6"/>
  <c r="S1" i="4"/>
  <c r="M10" i="9" s="1"/>
  <c r="T4" i="4"/>
  <c r="O4" i="7"/>
  <c r="P4" i="3"/>
  <c r="O4" i="10"/>
  <c r="M42" i="9"/>
  <c r="N4" i="9"/>
  <c r="H43" i="9" l="1"/>
  <c r="I41" i="9"/>
  <c r="P4" i="6"/>
  <c r="P11" i="6" s="1"/>
  <c r="O16" i="6"/>
  <c r="O10" i="6"/>
  <c r="O13" i="6"/>
  <c r="O14" i="6"/>
  <c r="O9" i="6"/>
  <c r="O17" i="6"/>
  <c r="O15" i="6"/>
  <c r="O8" i="6"/>
  <c r="K15" i="6"/>
  <c r="O68" i="6"/>
  <c r="O67" i="6"/>
  <c r="O59" i="6"/>
  <c r="O61" i="6"/>
  <c r="O63" i="6"/>
  <c r="O60" i="6"/>
  <c r="O62" i="6"/>
  <c r="O65" i="6"/>
  <c r="O66" i="6"/>
  <c r="O64" i="6"/>
  <c r="O12" i="6"/>
  <c r="O11" i="6"/>
  <c r="L55" i="6"/>
  <c r="L26" i="6"/>
  <c r="M46" i="6"/>
  <c r="M29" i="6" s="1"/>
  <c r="M47" i="6"/>
  <c r="M30" i="6" s="1"/>
  <c r="T23" i="4"/>
  <c r="N52" i="6"/>
  <c r="N46" i="6"/>
  <c r="N29" i="6" s="1"/>
  <c r="N45" i="6"/>
  <c r="N28" i="6" s="1"/>
  <c r="N47" i="6"/>
  <c r="N30" i="6" s="1"/>
  <c r="N51" i="6"/>
  <c r="N34" i="6" s="1"/>
  <c r="N16" i="6" s="1"/>
  <c r="R37" i="4"/>
  <c r="M43" i="6"/>
  <c r="M45" i="6"/>
  <c r="M28" i="6" s="1"/>
  <c r="U4" i="4"/>
  <c r="T1" i="4"/>
  <c r="N10" i="9" s="1"/>
  <c r="P4" i="7"/>
  <c r="Q4" i="3"/>
  <c r="P4" i="10"/>
  <c r="N42" i="9"/>
  <c r="O4" i="9"/>
  <c r="E23" i="1"/>
  <c r="I43" i="9" l="1"/>
  <c r="J41" i="9"/>
  <c r="P66" i="6"/>
  <c r="P60" i="6"/>
  <c r="Q4" i="6"/>
  <c r="Q61" i="6" s="1"/>
  <c r="P16" i="6"/>
  <c r="Q18" i="6"/>
  <c r="Q69" i="6"/>
  <c r="P18" i="6"/>
  <c r="P69" i="6"/>
  <c r="P12" i="6"/>
  <c r="P13" i="6"/>
  <c r="P61" i="6"/>
  <c r="P63" i="6"/>
  <c r="P15" i="6"/>
  <c r="P14" i="6"/>
  <c r="P65" i="6"/>
  <c r="P62" i="6"/>
  <c r="P67" i="6"/>
  <c r="P10" i="6"/>
  <c r="P9" i="6"/>
  <c r="P8" i="6"/>
  <c r="P17" i="6"/>
  <c r="P59" i="6"/>
  <c r="P64" i="6"/>
  <c r="P68" i="6"/>
  <c r="M17" i="6"/>
  <c r="L16" i="6"/>
  <c r="Q67" i="6"/>
  <c r="Q70" i="6"/>
  <c r="Q68" i="6"/>
  <c r="Q63" i="6"/>
  <c r="Q62" i="6"/>
  <c r="Q64" i="6"/>
  <c r="Q60" i="6"/>
  <c r="Q66" i="6"/>
  <c r="Q65" i="6"/>
  <c r="M55" i="6"/>
  <c r="L12" i="10" s="1"/>
  <c r="M13" i="11" s="1"/>
  <c r="M26" i="6"/>
  <c r="N44" i="6"/>
  <c r="N27" i="6" s="1"/>
  <c r="N43" i="6"/>
  <c r="S37" i="4"/>
  <c r="N50" i="6"/>
  <c r="N33" i="6" s="1"/>
  <c r="U23" i="4"/>
  <c r="U35" i="4" s="1"/>
  <c r="P53" i="6" s="1"/>
  <c r="T25" i="4"/>
  <c r="T32" i="4"/>
  <c r="O50" i="6" s="1"/>
  <c r="O33" i="6" s="1"/>
  <c r="T29" i="4"/>
  <c r="O47" i="6" s="1"/>
  <c r="O30" i="6" s="1"/>
  <c r="T26" i="4"/>
  <c r="O44" i="6" s="1"/>
  <c r="O27" i="6" s="1"/>
  <c r="T34" i="4"/>
  <c r="O52" i="6" s="1"/>
  <c r="O35" i="6" s="1"/>
  <c r="T31" i="4"/>
  <c r="O49" i="6" s="1"/>
  <c r="O32" i="6" s="1"/>
  <c r="T33" i="4"/>
  <c r="O51" i="6" s="1"/>
  <c r="O34" i="6" s="1"/>
  <c r="T28" i="4"/>
  <c r="O46" i="6" s="1"/>
  <c r="O29" i="6" s="1"/>
  <c r="T30" i="4"/>
  <c r="O48" i="6" s="1"/>
  <c r="O31" i="6" s="1"/>
  <c r="T27" i="4"/>
  <c r="N48" i="6"/>
  <c r="N31" i="6" s="1"/>
  <c r="N49" i="6"/>
  <c r="N32" i="6" s="1"/>
  <c r="K12" i="10"/>
  <c r="L13" i="11" s="1"/>
  <c r="Q17" i="6"/>
  <c r="Q19" i="6"/>
  <c r="V4" i="4"/>
  <c r="U1" i="4"/>
  <c r="O10" i="9" s="1"/>
  <c r="Q15" i="6"/>
  <c r="R4" i="6"/>
  <c r="Q11" i="6"/>
  <c r="Q8" i="6"/>
  <c r="Q10" i="6"/>
  <c r="Q9" i="6"/>
  <c r="Q12" i="6"/>
  <c r="Q14" i="6"/>
  <c r="Q13" i="6"/>
  <c r="Q16" i="6"/>
  <c r="Q4" i="7"/>
  <c r="R4" i="3"/>
  <c r="Q4" i="10"/>
  <c r="P4" i="9"/>
  <c r="O42" i="9"/>
  <c r="D44" i="19"/>
  <c r="J43" i="9" l="1"/>
  <c r="K41" i="9"/>
  <c r="Q59" i="6"/>
  <c r="Q71" i="6" s="1"/>
  <c r="P36" i="6"/>
  <c r="R18" i="6"/>
  <c r="R69" i="6"/>
  <c r="R67" i="6"/>
  <c r="R70" i="6"/>
  <c r="R68" i="6"/>
  <c r="R59" i="6"/>
  <c r="R61" i="6"/>
  <c r="R64" i="6"/>
  <c r="R63" i="6"/>
  <c r="R66" i="6"/>
  <c r="R62" i="6"/>
  <c r="R65" i="6"/>
  <c r="R60" i="6"/>
  <c r="O45" i="6"/>
  <c r="O28" i="6" s="1"/>
  <c r="O43" i="6"/>
  <c r="T37" i="4"/>
  <c r="J24" i="19" s="1"/>
  <c r="C24" i="19" s="1"/>
  <c r="N55" i="6"/>
  <c r="N26" i="6"/>
  <c r="V23" i="4"/>
  <c r="V35" i="4" s="1"/>
  <c r="Q53" i="6" s="1"/>
  <c r="Q36" i="6" s="1"/>
  <c r="U36" i="4"/>
  <c r="P54" i="6" s="1"/>
  <c r="U33" i="4"/>
  <c r="P51" i="6" s="1"/>
  <c r="P34" i="6" s="1"/>
  <c r="U31" i="4"/>
  <c r="P49" i="6" s="1"/>
  <c r="P32" i="6" s="1"/>
  <c r="U29" i="4"/>
  <c r="P47" i="6" s="1"/>
  <c r="P30" i="6" s="1"/>
  <c r="U27" i="4"/>
  <c r="P45" i="6" s="1"/>
  <c r="P28" i="6" s="1"/>
  <c r="U34" i="4"/>
  <c r="P52" i="6" s="1"/>
  <c r="P35" i="6" s="1"/>
  <c r="U28" i="4"/>
  <c r="U25" i="4"/>
  <c r="U30" i="4"/>
  <c r="U32" i="4"/>
  <c r="P50" i="6" s="1"/>
  <c r="P33" i="6" s="1"/>
  <c r="U26" i="4"/>
  <c r="R19" i="6"/>
  <c r="R17" i="6"/>
  <c r="Q20" i="6"/>
  <c r="W4" i="4"/>
  <c r="V1" i="4"/>
  <c r="P10" i="9" s="1"/>
  <c r="S4" i="6"/>
  <c r="R9" i="6"/>
  <c r="R14" i="6"/>
  <c r="R4" i="7"/>
  <c r="S4" i="3"/>
  <c r="R4" i="10"/>
  <c r="P42" i="9"/>
  <c r="Q4" i="9"/>
  <c r="K43" i="9" l="1"/>
  <c r="L41" i="9"/>
  <c r="S18" i="6"/>
  <c r="S69" i="6"/>
  <c r="M12" i="10"/>
  <c r="N13" i="11" s="1"/>
  <c r="R71" i="6"/>
  <c r="N19" i="6"/>
  <c r="O19" i="6"/>
  <c r="S70" i="6"/>
  <c r="S68" i="6"/>
  <c r="S67" i="6"/>
  <c r="S63" i="6"/>
  <c r="S64" i="6"/>
  <c r="S60" i="6"/>
  <c r="S62" i="6"/>
  <c r="S59" i="6"/>
  <c r="S65" i="6"/>
  <c r="S66" i="6"/>
  <c r="S61" i="6"/>
  <c r="P43" i="6"/>
  <c r="U37" i="4"/>
  <c r="W23" i="4"/>
  <c r="W35" i="4" s="1"/>
  <c r="R53" i="6" s="1"/>
  <c r="R36" i="6" s="1"/>
  <c r="V26" i="4"/>
  <c r="Q44" i="6" s="1"/>
  <c r="Q27" i="6" s="1"/>
  <c r="V31" i="4"/>
  <c r="Q49" i="6" s="1"/>
  <c r="Q32" i="6" s="1"/>
  <c r="V28" i="4"/>
  <c r="Q46" i="6" s="1"/>
  <c r="Q29" i="6" s="1"/>
  <c r="V25" i="4"/>
  <c r="V33" i="4"/>
  <c r="Q51" i="6" s="1"/>
  <c r="Q34" i="6" s="1"/>
  <c r="V30" i="4"/>
  <c r="Q48" i="6" s="1"/>
  <c r="Q31" i="6" s="1"/>
  <c r="V36" i="4"/>
  <c r="Q54" i="6" s="1"/>
  <c r="Q37" i="6" s="1"/>
  <c r="V32" i="4"/>
  <c r="Q50" i="6" s="1"/>
  <c r="Q33" i="6" s="1"/>
  <c r="V27" i="4"/>
  <c r="Q45" i="6" s="1"/>
  <c r="Q28" i="6" s="1"/>
  <c r="V34" i="4"/>
  <c r="Q52" i="6" s="1"/>
  <c r="Q35" i="6" s="1"/>
  <c r="V29" i="4"/>
  <c r="Q47" i="6" s="1"/>
  <c r="Q30" i="6" s="1"/>
  <c r="P44" i="6"/>
  <c r="P27" i="6" s="1"/>
  <c r="P46" i="6"/>
  <c r="P29" i="6" s="1"/>
  <c r="P48" i="6"/>
  <c r="P31" i="6" s="1"/>
  <c r="O55" i="6"/>
  <c r="N12" i="10" s="1"/>
  <c r="O13" i="11" s="1"/>
  <c r="O26" i="6"/>
  <c r="S17" i="6"/>
  <c r="S19" i="6"/>
  <c r="P22" i="9"/>
  <c r="X4" i="4"/>
  <c r="W1" i="4"/>
  <c r="Q10" i="9" s="1"/>
  <c r="S15" i="6"/>
  <c r="T4" i="6"/>
  <c r="S12" i="6"/>
  <c r="S9" i="6"/>
  <c r="S11" i="6"/>
  <c r="S10" i="6"/>
  <c r="S13" i="6"/>
  <c r="S8" i="6"/>
  <c r="S16" i="6"/>
  <c r="S14" i="6"/>
  <c r="S4" i="7"/>
  <c r="T4" i="3"/>
  <c r="S4" i="10"/>
  <c r="Q42" i="9"/>
  <c r="R4" i="9"/>
  <c r="D47" i="1"/>
  <c r="D46" i="1"/>
  <c r="E24" i="1"/>
  <c r="D43" i="19"/>
  <c r="D49" i="1"/>
  <c r="C49" i="1"/>
  <c r="D48" i="1"/>
  <c r="C48" i="1"/>
  <c r="C47" i="1"/>
  <c r="C46" i="1"/>
  <c r="C42" i="1"/>
  <c r="E41" i="1"/>
  <c r="E40" i="1"/>
  <c r="E39" i="1"/>
  <c r="E38" i="1"/>
  <c r="C29" i="1"/>
  <c r="D29" i="1" s="1"/>
  <c r="E29" i="1" s="1"/>
  <c r="E48" i="1" l="1"/>
  <c r="M41" i="9"/>
  <c r="L43" i="9"/>
  <c r="E43" i="1"/>
  <c r="T18" i="6"/>
  <c r="T69" i="6"/>
  <c r="S71" i="6"/>
  <c r="T68" i="6"/>
  <c r="T70" i="6"/>
  <c r="T67" i="6"/>
  <c r="T59" i="6"/>
  <c r="T61" i="6"/>
  <c r="T64" i="6"/>
  <c r="T66" i="6"/>
  <c r="T62" i="6"/>
  <c r="T63" i="6"/>
  <c r="T65" i="6"/>
  <c r="T60" i="6"/>
  <c r="Q43" i="6"/>
  <c r="V37" i="4"/>
  <c r="X23" i="4"/>
  <c r="X35" i="4" s="1"/>
  <c r="S53" i="6" s="1"/>
  <c r="S36" i="6" s="1"/>
  <c r="W34" i="4"/>
  <c r="R52" i="6" s="1"/>
  <c r="R35" i="6" s="1"/>
  <c r="W32" i="4"/>
  <c r="R50" i="6" s="1"/>
  <c r="R33" i="6" s="1"/>
  <c r="R15" i="6" s="1"/>
  <c r="W30" i="4"/>
  <c r="R48" i="6" s="1"/>
  <c r="R31" i="6" s="1"/>
  <c r="R13" i="6" s="1"/>
  <c r="W28" i="4"/>
  <c r="R46" i="6" s="1"/>
  <c r="R29" i="6" s="1"/>
  <c r="R11" i="6" s="1"/>
  <c r="W33" i="4"/>
  <c r="R51" i="6" s="1"/>
  <c r="R34" i="6" s="1"/>
  <c r="R16" i="6" s="1"/>
  <c r="W36" i="4"/>
  <c r="R54" i="6" s="1"/>
  <c r="R37" i="6" s="1"/>
  <c r="W27" i="4"/>
  <c r="R45" i="6" s="1"/>
  <c r="R28" i="6" s="1"/>
  <c r="R10" i="6" s="1"/>
  <c r="W29" i="4"/>
  <c r="R47" i="6" s="1"/>
  <c r="R30" i="6" s="1"/>
  <c r="R12" i="6" s="1"/>
  <c r="W26" i="4"/>
  <c r="R44" i="6" s="1"/>
  <c r="R27" i="6" s="1"/>
  <c r="W31" i="4"/>
  <c r="R49" i="6" s="1"/>
  <c r="R32" i="6" s="1"/>
  <c r="W25" i="4"/>
  <c r="P55" i="6"/>
  <c r="P26" i="6"/>
  <c r="T17" i="6"/>
  <c r="T19" i="6"/>
  <c r="S20" i="6"/>
  <c r="Q22" i="9"/>
  <c r="R8" i="6"/>
  <c r="X1" i="4"/>
  <c r="R10" i="9" s="1"/>
  <c r="Y4" i="4"/>
  <c r="T16" i="6"/>
  <c r="T9" i="6"/>
  <c r="T13" i="6"/>
  <c r="U4" i="6"/>
  <c r="T11" i="6"/>
  <c r="T14" i="6"/>
  <c r="T8" i="6"/>
  <c r="T10" i="6"/>
  <c r="T12" i="6"/>
  <c r="T15" i="6"/>
  <c r="T4" i="7"/>
  <c r="U4" i="3"/>
  <c r="T4" i="10"/>
  <c r="R42" i="9"/>
  <c r="S4" i="9"/>
  <c r="E44" i="19"/>
  <c r="E49" i="1"/>
  <c r="E47" i="1"/>
  <c r="E46" i="1"/>
  <c r="E42" i="1"/>
  <c r="C50" i="1"/>
  <c r="M43" i="9" l="1"/>
  <c r="N41" i="9"/>
  <c r="C7" i="11"/>
  <c r="D69" i="6"/>
  <c r="D36" i="6" s="1"/>
  <c r="E69" i="6"/>
  <c r="E36" i="6" s="1"/>
  <c r="D70" i="6"/>
  <c r="D37" i="6" s="1"/>
  <c r="D67" i="6"/>
  <c r="D34" i="6" s="1"/>
  <c r="D68" i="6"/>
  <c r="D35" i="6" s="1"/>
  <c r="F69" i="6"/>
  <c r="F36" i="6" s="1"/>
  <c r="G69" i="6"/>
  <c r="G36" i="6" s="1"/>
  <c r="D66" i="6"/>
  <c r="D33" i="6" s="1"/>
  <c r="D61" i="6"/>
  <c r="D28" i="6" s="1"/>
  <c r="D63" i="6"/>
  <c r="D30" i="6" s="1"/>
  <c r="E67" i="6"/>
  <c r="E34" i="6" s="1"/>
  <c r="D59" i="6"/>
  <c r="D60" i="6"/>
  <c r="D27" i="6" s="1"/>
  <c r="D64" i="6"/>
  <c r="D31" i="6" s="1"/>
  <c r="D62" i="6"/>
  <c r="D29" i="6" s="1"/>
  <c r="E68" i="6"/>
  <c r="E35" i="6" s="1"/>
  <c r="D65" i="6"/>
  <c r="D32" i="6" s="1"/>
  <c r="E70" i="6"/>
  <c r="E37" i="6" s="1"/>
  <c r="E60" i="6"/>
  <c r="E27" i="6" s="1"/>
  <c r="E9" i="6" s="1"/>
  <c r="D24" i="7" s="1"/>
  <c r="E66" i="6"/>
  <c r="E33" i="6" s="1"/>
  <c r="E15" i="6" s="1"/>
  <c r="D30" i="7" s="1"/>
  <c r="F67" i="6"/>
  <c r="F34" i="6" s="1"/>
  <c r="F16" i="6" s="1"/>
  <c r="E31" i="7" s="1"/>
  <c r="E63" i="6"/>
  <c r="E30" i="6" s="1"/>
  <c r="E64" i="6"/>
  <c r="E31" i="6" s="1"/>
  <c r="E13" i="6" s="1"/>
  <c r="D28" i="7" s="1"/>
  <c r="H69" i="6"/>
  <c r="H36" i="6" s="1"/>
  <c r="H18" i="6" s="1"/>
  <c r="G33" i="7" s="1"/>
  <c r="E61" i="6"/>
  <c r="E28" i="6" s="1"/>
  <c r="E65" i="6"/>
  <c r="E32" i="6" s="1"/>
  <c r="E62" i="6"/>
  <c r="E29" i="6" s="1"/>
  <c r="E11" i="6" s="1"/>
  <c r="D26" i="7" s="1"/>
  <c r="F68" i="6"/>
  <c r="F35" i="6" s="1"/>
  <c r="E59" i="6"/>
  <c r="F70" i="6"/>
  <c r="F37" i="6" s="1"/>
  <c r="F65" i="6"/>
  <c r="F32" i="6" s="1"/>
  <c r="F14" i="6" s="1"/>
  <c r="G70" i="6"/>
  <c r="G37" i="6" s="1"/>
  <c r="I69" i="6"/>
  <c r="I36" i="6" s="1"/>
  <c r="G67" i="6"/>
  <c r="G34" i="6" s="1"/>
  <c r="G16" i="6" s="1"/>
  <c r="F61" i="6"/>
  <c r="F28" i="6" s="1"/>
  <c r="G68" i="6"/>
  <c r="G35" i="6" s="1"/>
  <c r="G17" i="6" s="1"/>
  <c r="F32" i="7" s="1"/>
  <c r="F62" i="6"/>
  <c r="F29" i="6" s="1"/>
  <c r="F11" i="6" s="1"/>
  <c r="E26" i="7" s="1"/>
  <c r="F63" i="6"/>
  <c r="F30" i="6" s="1"/>
  <c r="F60" i="6"/>
  <c r="F64" i="6"/>
  <c r="F31" i="6" s="1"/>
  <c r="F13" i="6" s="1"/>
  <c r="E28" i="7" s="1"/>
  <c r="F66" i="6"/>
  <c r="F33" i="6" s="1"/>
  <c r="H68" i="6"/>
  <c r="H35" i="6" s="1"/>
  <c r="G61" i="6"/>
  <c r="G63" i="6"/>
  <c r="G30" i="6" s="1"/>
  <c r="H67" i="6"/>
  <c r="H34" i="6" s="1"/>
  <c r="H16" i="6" s="1"/>
  <c r="G66" i="6"/>
  <c r="G33" i="6" s="1"/>
  <c r="G15" i="6" s="1"/>
  <c r="G65" i="6"/>
  <c r="G32" i="6" s="1"/>
  <c r="G14" i="6" s="1"/>
  <c r="J69" i="6"/>
  <c r="J36" i="6" s="1"/>
  <c r="G64" i="6"/>
  <c r="G31" i="6" s="1"/>
  <c r="G13" i="6" s="1"/>
  <c r="F28" i="7" s="1"/>
  <c r="G62" i="6"/>
  <c r="G29" i="6" s="1"/>
  <c r="G11" i="6" s="1"/>
  <c r="H70" i="6"/>
  <c r="H37" i="6" s="1"/>
  <c r="H66" i="6"/>
  <c r="H33" i="6" s="1"/>
  <c r="H15" i="6" s="1"/>
  <c r="K69" i="6"/>
  <c r="K36" i="6" s="1"/>
  <c r="H64" i="6"/>
  <c r="H31" i="6" s="1"/>
  <c r="H65" i="6"/>
  <c r="H32" i="6" s="1"/>
  <c r="H14" i="6" s="1"/>
  <c r="H62" i="6"/>
  <c r="H63" i="6"/>
  <c r="H30" i="6" s="1"/>
  <c r="H12" i="6" s="1"/>
  <c r="G27" i="7" s="1"/>
  <c r="I70" i="6"/>
  <c r="I37" i="6" s="1"/>
  <c r="I19" i="6" s="1"/>
  <c r="H34" i="7" s="1"/>
  <c r="I67" i="6"/>
  <c r="I34" i="6" s="1"/>
  <c r="I68" i="6"/>
  <c r="I35" i="6" s="1"/>
  <c r="J70" i="6"/>
  <c r="J37" i="6" s="1"/>
  <c r="J67" i="6"/>
  <c r="J34" i="6" s="1"/>
  <c r="I65" i="6"/>
  <c r="I32" i="6" s="1"/>
  <c r="J68" i="6"/>
  <c r="J35" i="6" s="1"/>
  <c r="I66" i="6"/>
  <c r="I33" i="6" s="1"/>
  <c r="L69" i="6"/>
  <c r="L36" i="6" s="1"/>
  <c r="I63" i="6"/>
  <c r="I64" i="6"/>
  <c r="I31" i="6" s="1"/>
  <c r="J65" i="6"/>
  <c r="J32" i="6" s="1"/>
  <c r="J14" i="6" s="1"/>
  <c r="M69" i="6"/>
  <c r="M36" i="6" s="1"/>
  <c r="J64" i="6"/>
  <c r="K70" i="6"/>
  <c r="K37" i="6" s="1"/>
  <c r="K65" i="6"/>
  <c r="K67" i="6"/>
  <c r="K34" i="6" s="1"/>
  <c r="J66" i="6"/>
  <c r="J33" i="6" s="1"/>
  <c r="K68" i="6"/>
  <c r="K35" i="6" s="1"/>
  <c r="K66" i="6"/>
  <c r="K33" i="6" s="1"/>
  <c r="L70" i="6"/>
  <c r="L37" i="6" s="1"/>
  <c r="L67" i="6"/>
  <c r="L34" i="6" s="1"/>
  <c r="L68" i="6"/>
  <c r="L35" i="6" s="1"/>
  <c r="M68" i="6"/>
  <c r="M35" i="6" s="1"/>
  <c r="N69" i="6"/>
  <c r="N36" i="6" s="1"/>
  <c r="M70" i="6"/>
  <c r="M37" i="6" s="1"/>
  <c r="L66" i="6"/>
  <c r="M67" i="6"/>
  <c r="O69" i="6"/>
  <c r="O36" i="6" s="1"/>
  <c r="N68" i="6"/>
  <c r="N70" i="6"/>
  <c r="O70" i="6"/>
  <c r="P70" i="6"/>
  <c r="U18" i="6"/>
  <c r="U69" i="6"/>
  <c r="T71" i="6"/>
  <c r="U67" i="6"/>
  <c r="U68" i="6"/>
  <c r="U70" i="6"/>
  <c r="U61" i="6"/>
  <c r="U63" i="6"/>
  <c r="U60" i="6"/>
  <c r="U66" i="6"/>
  <c r="U62" i="6"/>
  <c r="U64" i="6"/>
  <c r="U65" i="6"/>
  <c r="U59" i="6"/>
  <c r="Y23" i="4"/>
  <c r="Y35" i="4" s="1"/>
  <c r="T53" i="6" s="1"/>
  <c r="T36" i="6" s="1"/>
  <c r="X25" i="4"/>
  <c r="X36" i="4"/>
  <c r="S54" i="6" s="1"/>
  <c r="S37" i="6" s="1"/>
  <c r="X30" i="4"/>
  <c r="S48" i="6" s="1"/>
  <c r="S31" i="6" s="1"/>
  <c r="X27" i="4"/>
  <c r="S45" i="6" s="1"/>
  <c r="S28" i="6" s="1"/>
  <c r="X32" i="4"/>
  <c r="S50" i="6" s="1"/>
  <c r="S33" i="6" s="1"/>
  <c r="X29" i="4"/>
  <c r="S47" i="6" s="1"/>
  <c r="S30" i="6" s="1"/>
  <c r="X26" i="4"/>
  <c r="S44" i="6" s="1"/>
  <c r="S27" i="6" s="1"/>
  <c r="X34" i="4"/>
  <c r="S52" i="6" s="1"/>
  <c r="S35" i="6" s="1"/>
  <c r="X31" i="4"/>
  <c r="S49" i="6" s="1"/>
  <c r="S32" i="6" s="1"/>
  <c r="X33" i="4"/>
  <c r="S51" i="6" s="1"/>
  <c r="S34" i="6" s="1"/>
  <c r="X28" i="4"/>
  <c r="S46" i="6" s="1"/>
  <c r="S29" i="6" s="1"/>
  <c r="R43" i="6"/>
  <c r="W37" i="4"/>
  <c r="O12" i="10"/>
  <c r="P13" i="11" s="1"/>
  <c r="Q55" i="6"/>
  <c r="P12" i="10" s="1"/>
  <c r="Q13" i="11" s="1"/>
  <c r="Q26" i="6"/>
  <c r="Q38" i="6" s="1"/>
  <c r="U19" i="6"/>
  <c r="U17" i="6"/>
  <c r="T20" i="6"/>
  <c r="R20" i="6"/>
  <c r="R22" i="9"/>
  <c r="Y1" i="4"/>
  <c r="S10" i="9" s="1"/>
  <c r="Z4" i="4"/>
  <c r="U15" i="6"/>
  <c r="V4" i="6"/>
  <c r="U8" i="6"/>
  <c r="U12" i="6"/>
  <c r="U14" i="6"/>
  <c r="U16" i="6"/>
  <c r="U9" i="6"/>
  <c r="U10" i="6"/>
  <c r="U11" i="6"/>
  <c r="U13" i="6"/>
  <c r="U4" i="7"/>
  <c r="V4" i="3"/>
  <c r="T20" i="10"/>
  <c r="U4" i="10"/>
  <c r="S42" i="9"/>
  <c r="T4" i="9"/>
  <c r="E50" i="1"/>
  <c r="F44" i="19"/>
  <c r="C19" i="1"/>
  <c r="M34" i="6" l="1"/>
  <c r="M38" i="6" s="1"/>
  <c r="M71" i="6"/>
  <c r="L22" i="9" s="1"/>
  <c r="G31" i="7"/>
  <c r="E47" i="7"/>
  <c r="E65" i="7"/>
  <c r="N71" i="6"/>
  <c r="M22" i="9" s="1"/>
  <c r="N37" i="6"/>
  <c r="P19" i="6" s="1"/>
  <c r="P20" i="6" s="1"/>
  <c r="L33" i="6"/>
  <c r="L71" i="6"/>
  <c r="K22" i="9" s="1"/>
  <c r="H29" i="6"/>
  <c r="H38" i="6" s="1"/>
  <c r="H71" i="6"/>
  <c r="G22" i="9" s="1"/>
  <c r="E62" i="7"/>
  <c r="E44" i="7"/>
  <c r="F48" i="7"/>
  <c r="G32" i="7"/>
  <c r="F66" i="7"/>
  <c r="G49" i="7"/>
  <c r="G67" i="7"/>
  <c r="H33" i="7"/>
  <c r="E30" i="7"/>
  <c r="D64" i="7"/>
  <c r="D46" i="7"/>
  <c r="D26" i="6"/>
  <c r="D71" i="6"/>
  <c r="M16" i="6"/>
  <c r="O71" i="6"/>
  <c r="N22" i="9" s="1"/>
  <c r="O37" i="6"/>
  <c r="K32" i="6"/>
  <c r="K38" i="6" s="1"/>
  <c r="K71" i="6"/>
  <c r="J22" i="9" s="1"/>
  <c r="G61" i="7"/>
  <c r="G43" i="7"/>
  <c r="F62" i="7"/>
  <c r="F44" i="7"/>
  <c r="G28" i="7"/>
  <c r="E42" i="7"/>
  <c r="E60" i="7"/>
  <c r="E26" i="6"/>
  <c r="E71" i="6"/>
  <c r="D22" i="9" s="1"/>
  <c r="D14" i="6"/>
  <c r="K14" i="6"/>
  <c r="E52" i="1"/>
  <c r="C20" i="10"/>
  <c r="C33" i="10" s="1"/>
  <c r="E20" i="3"/>
  <c r="C20" i="3"/>
  <c r="D20" i="3"/>
  <c r="F20" i="3"/>
  <c r="D20" i="10"/>
  <c r="D33" i="10" s="1"/>
  <c r="E20" i="10"/>
  <c r="E33" i="10" s="1"/>
  <c r="G20" i="3"/>
  <c r="F20" i="10"/>
  <c r="F33" i="10" s="1"/>
  <c r="H20" i="3"/>
  <c r="H20" i="10"/>
  <c r="H33" i="10" s="1"/>
  <c r="G20" i="10"/>
  <c r="G33" i="10" s="1"/>
  <c r="I20" i="3"/>
  <c r="J20" i="3"/>
  <c r="I20" i="10"/>
  <c r="I33" i="10" s="1"/>
  <c r="K20" i="3"/>
  <c r="J20" i="10"/>
  <c r="J33" i="10" s="1"/>
  <c r="K20" i="10"/>
  <c r="K33" i="10" s="1"/>
  <c r="L20" i="3"/>
  <c r="M20" i="3"/>
  <c r="L20" i="10"/>
  <c r="L33" i="10" s="1"/>
  <c r="N20" i="3"/>
  <c r="M20" i="10"/>
  <c r="M33" i="10" s="1"/>
  <c r="N20" i="10"/>
  <c r="N33" i="10" s="1"/>
  <c r="O20" i="3"/>
  <c r="P20" i="3"/>
  <c r="O20" i="10"/>
  <c r="O33" i="10" s="1"/>
  <c r="P20" i="10"/>
  <c r="P33" i="10" s="1"/>
  <c r="Q20" i="3"/>
  <c r="Q20" i="10"/>
  <c r="Q33" i="10" s="1"/>
  <c r="R20" i="3"/>
  <c r="R20" i="10"/>
  <c r="R33" i="10" s="1"/>
  <c r="S20" i="3"/>
  <c r="T20" i="3"/>
  <c r="S20" i="10"/>
  <c r="S33" i="10" s="1"/>
  <c r="U20" i="3"/>
  <c r="O18" i="6"/>
  <c r="N35" i="6"/>
  <c r="J31" i="6"/>
  <c r="J38" i="6" s="1"/>
  <c r="J71" i="6"/>
  <c r="I22" i="9" s="1"/>
  <c r="I30" i="6"/>
  <c r="I71" i="6"/>
  <c r="H22" i="9" s="1"/>
  <c r="G28" i="6"/>
  <c r="G71" i="6"/>
  <c r="F22" i="9" s="1"/>
  <c r="F27" i="6"/>
  <c r="F71" i="6"/>
  <c r="E22" i="9" s="1"/>
  <c r="D60" i="7"/>
  <c r="D42" i="7"/>
  <c r="D62" i="7"/>
  <c r="D44" i="7"/>
  <c r="D58" i="7"/>
  <c r="D40" i="7"/>
  <c r="H11" i="6"/>
  <c r="N43" i="9"/>
  <c r="O41" i="9"/>
  <c r="P71" i="6"/>
  <c r="O22" i="9" s="1"/>
  <c r="P37" i="6"/>
  <c r="P38" i="6" s="1"/>
  <c r="O38" i="6"/>
  <c r="I34" i="7"/>
  <c r="H50" i="7"/>
  <c r="H68" i="7"/>
  <c r="F26" i="7"/>
  <c r="F30" i="7"/>
  <c r="F31" i="7"/>
  <c r="J13" i="6"/>
  <c r="V18" i="6"/>
  <c r="V69" i="6"/>
  <c r="V36" i="6" s="1"/>
  <c r="V67" i="6"/>
  <c r="V34" i="6" s="1"/>
  <c r="V70" i="6"/>
  <c r="V37" i="6" s="1"/>
  <c r="V68" i="6"/>
  <c r="V61" i="6"/>
  <c r="V64" i="6"/>
  <c r="V65" i="6"/>
  <c r="V66" i="6"/>
  <c r="V33" i="6" s="1"/>
  <c r="V62" i="6"/>
  <c r="V63" i="6"/>
  <c r="V60" i="6"/>
  <c r="V59" i="6"/>
  <c r="U71" i="6"/>
  <c r="Z23" i="4"/>
  <c r="Z35" i="4" s="1"/>
  <c r="U53" i="6" s="1"/>
  <c r="U36" i="6" s="1"/>
  <c r="Y36" i="4"/>
  <c r="T54" i="6" s="1"/>
  <c r="T37" i="6" s="1"/>
  <c r="Y33" i="4"/>
  <c r="T51" i="6" s="1"/>
  <c r="T34" i="6" s="1"/>
  <c r="Y31" i="4"/>
  <c r="T49" i="6" s="1"/>
  <c r="T32" i="6" s="1"/>
  <c r="Y29" i="4"/>
  <c r="T47" i="6" s="1"/>
  <c r="T30" i="6" s="1"/>
  <c r="Y27" i="4"/>
  <c r="T45" i="6" s="1"/>
  <c r="T28" i="6" s="1"/>
  <c r="Y32" i="4"/>
  <c r="T50" i="6" s="1"/>
  <c r="T33" i="6" s="1"/>
  <c r="Y26" i="4"/>
  <c r="T44" i="6" s="1"/>
  <c r="T27" i="6" s="1"/>
  <c r="Y34" i="4"/>
  <c r="T52" i="6" s="1"/>
  <c r="T35" i="6" s="1"/>
  <c r="Y28" i="4"/>
  <c r="T46" i="6" s="1"/>
  <c r="T29" i="6" s="1"/>
  <c r="Y25" i="4"/>
  <c r="Y30" i="4"/>
  <c r="T48" i="6" s="1"/>
  <c r="T31" i="6" s="1"/>
  <c r="R55" i="6"/>
  <c r="Q12" i="10" s="1"/>
  <c r="R13" i="11" s="1"/>
  <c r="R26" i="6"/>
  <c r="R38" i="6" s="1"/>
  <c r="S43" i="6"/>
  <c r="X37" i="4"/>
  <c r="V17" i="6"/>
  <c r="V19" i="6"/>
  <c r="U20" i="6"/>
  <c r="S22" i="9"/>
  <c r="Z1" i="4"/>
  <c r="T10" i="9" s="1"/>
  <c r="AA4" i="4"/>
  <c r="W4" i="6"/>
  <c r="V13" i="6"/>
  <c r="V10" i="6"/>
  <c r="V8" i="6"/>
  <c r="V11" i="6"/>
  <c r="V9" i="6"/>
  <c r="V14" i="6"/>
  <c r="V12" i="6"/>
  <c r="V15" i="6"/>
  <c r="V16" i="6"/>
  <c r="V4" i="7"/>
  <c r="V20" i="3"/>
  <c r="W4" i="3"/>
  <c r="T33" i="10"/>
  <c r="U20" i="10"/>
  <c r="V4" i="10"/>
  <c r="T42" i="9"/>
  <c r="U4" i="9"/>
  <c r="G44" i="19"/>
  <c r="F60" i="7" l="1"/>
  <c r="F42" i="7"/>
  <c r="I12" i="6"/>
  <c r="I38" i="6"/>
  <c r="G47" i="7"/>
  <c r="G65" i="7"/>
  <c r="H31" i="7"/>
  <c r="J20" i="6"/>
  <c r="H20" i="6"/>
  <c r="G26" i="7"/>
  <c r="AZ8" i="3"/>
  <c r="AV8" i="3"/>
  <c r="AR8" i="3"/>
  <c r="AN8" i="3"/>
  <c r="AJ8" i="3"/>
  <c r="AF8" i="3"/>
  <c r="AB8" i="3"/>
  <c r="X8" i="3"/>
  <c r="T8" i="3"/>
  <c r="P8" i="3"/>
  <c r="L8" i="3"/>
  <c r="H8" i="3"/>
  <c r="D8" i="3"/>
  <c r="BC8" i="3"/>
  <c r="AU8" i="3"/>
  <c r="AQ8" i="3"/>
  <c r="AM8" i="3"/>
  <c r="AI8" i="3"/>
  <c r="AE8" i="3"/>
  <c r="W8" i="3"/>
  <c r="S8" i="3"/>
  <c r="O8" i="3"/>
  <c r="G8" i="3"/>
  <c r="AX8" i="3"/>
  <c r="AL8" i="3"/>
  <c r="AD8" i="3"/>
  <c r="N8" i="3"/>
  <c r="F8" i="3"/>
  <c r="BA8" i="3"/>
  <c r="AS8" i="3"/>
  <c r="AK8" i="3"/>
  <c r="Y8" i="3"/>
  <c r="Q8" i="3"/>
  <c r="I8" i="3"/>
  <c r="AY8" i="3"/>
  <c r="AA8" i="3"/>
  <c r="K8" i="3"/>
  <c r="C8" i="3"/>
  <c r="BB8" i="3"/>
  <c r="AT8" i="3"/>
  <c r="AP8" i="3"/>
  <c r="AH8" i="3"/>
  <c r="Z8" i="3"/>
  <c r="V8" i="3"/>
  <c r="R8" i="3"/>
  <c r="J8" i="3"/>
  <c r="AW8" i="3"/>
  <c r="AO8" i="3"/>
  <c r="AG8" i="3"/>
  <c r="AC8" i="3"/>
  <c r="U8" i="3"/>
  <c r="M8" i="3"/>
  <c r="E8" i="3"/>
  <c r="E8" i="6"/>
  <c r="E38" i="6"/>
  <c r="M20" i="6"/>
  <c r="G10" i="6"/>
  <c r="G38" i="6"/>
  <c r="O20" i="6"/>
  <c r="G62" i="7"/>
  <c r="G44" i="7"/>
  <c r="H28" i="7"/>
  <c r="F65" i="7"/>
  <c r="F47" i="7"/>
  <c r="F9" i="6"/>
  <c r="F38" i="6"/>
  <c r="K20" i="6"/>
  <c r="C22" i="9"/>
  <c r="D38" i="6"/>
  <c r="E64" i="7"/>
  <c r="E46" i="7"/>
  <c r="F46" i="7"/>
  <c r="F64" i="7"/>
  <c r="I50" i="7"/>
  <c r="I68" i="7"/>
  <c r="J34" i="7"/>
  <c r="P41" i="9"/>
  <c r="O43" i="9"/>
  <c r="N17" i="6"/>
  <c r="N38" i="6"/>
  <c r="C29" i="7"/>
  <c r="D20" i="6"/>
  <c r="H49" i="7"/>
  <c r="H67" i="7"/>
  <c r="I33" i="7"/>
  <c r="H32" i="7"/>
  <c r="G48" i="7"/>
  <c r="G66" i="7"/>
  <c r="G30" i="7"/>
  <c r="L15" i="6"/>
  <c r="L38" i="6"/>
  <c r="W18" i="6"/>
  <c r="W69" i="6"/>
  <c r="W36" i="6" s="1"/>
  <c r="V35" i="6"/>
  <c r="V71" i="6"/>
  <c r="W70" i="6"/>
  <c r="W37" i="6" s="1"/>
  <c r="W68" i="6"/>
  <c r="W67" i="6"/>
  <c r="W34" i="6" s="1"/>
  <c r="W60" i="6"/>
  <c r="W62" i="6"/>
  <c r="W59" i="6"/>
  <c r="W65" i="6"/>
  <c r="W66" i="6"/>
  <c r="W33" i="6" s="1"/>
  <c r="W64" i="6"/>
  <c r="W63" i="6"/>
  <c r="W61" i="6"/>
  <c r="S55" i="6"/>
  <c r="R12" i="10" s="1"/>
  <c r="S13" i="11" s="1"/>
  <c r="S26" i="6"/>
  <c r="S38" i="6" s="1"/>
  <c r="AA23" i="4"/>
  <c r="AB23" i="4" s="1"/>
  <c r="AC23" i="4" s="1"/>
  <c r="AD23" i="4" s="1"/>
  <c r="AE23" i="4" s="1"/>
  <c r="AF23" i="4" s="1"/>
  <c r="AG23" i="4" s="1"/>
  <c r="AH23" i="4" s="1"/>
  <c r="AI23" i="4" s="1"/>
  <c r="AJ23" i="4" s="1"/>
  <c r="AK23" i="4" s="1"/>
  <c r="AL23" i="4" s="1"/>
  <c r="AM23" i="4" s="1"/>
  <c r="AN23" i="4" s="1"/>
  <c r="AO23" i="4" s="1"/>
  <c r="AP23" i="4" s="1"/>
  <c r="AQ23" i="4" s="1"/>
  <c r="AR23" i="4" s="1"/>
  <c r="AS23" i="4" s="1"/>
  <c r="AT23" i="4" s="1"/>
  <c r="AU23" i="4" s="1"/>
  <c r="AV23" i="4" s="1"/>
  <c r="AW23" i="4" s="1"/>
  <c r="AX23" i="4" s="1"/>
  <c r="AY23" i="4" s="1"/>
  <c r="AZ23" i="4" s="1"/>
  <c r="BA23" i="4" s="1"/>
  <c r="BB23" i="4" s="1"/>
  <c r="BC23" i="4" s="1"/>
  <c r="BD23" i="4" s="1"/>
  <c r="BE23" i="4" s="1"/>
  <c r="BF23" i="4" s="1"/>
  <c r="BG23" i="4" s="1"/>
  <c r="BH23" i="4" s="1"/>
  <c r="BI23" i="4" s="1"/>
  <c r="Z26" i="4"/>
  <c r="Z34" i="4"/>
  <c r="U52" i="6" s="1"/>
  <c r="U35" i="6" s="1"/>
  <c r="Z29" i="4"/>
  <c r="Z31" i="4"/>
  <c r="Z28" i="4"/>
  <c r="Z25" i="4"/>
  <c r="Z33" i="4"/>
  <c r="U51" i="6" s="1"/>
  <c r="U34" i="6" s="1"/>
  <c r="Z30" i="4"/>
  <c r="Z32" i="4"/>
  <c r="Z27" i="4"/>
  <c r="Z36" i="4"/>
  <c r="U54" i="6" s="1"/>
  <c r="U37" i="6" s="1"/>
  <c r="T43" i="6"/>
  <c r="Y37" i="4"/>
  <c r="W19" i="6"/>
  <c r="W17" i="6"/>
  <c r="V20" i="6"/>
  <c r="V31" i="6"/>
  <c r="V32" i="6"/>
  <c r="V27" i="6"/>
  <c r="V29" i="6"/>
  <c r="T22" i="9"/>
  <c r="V30" i="6"/>
  <c r="V28" i="6"/>
  <c r="U11" i="3"/>
  <c r="AA1" i="4"/>
  <c r="U10" i="9" s="1"/>
  <c r="AB4" i="4"/>
  <c r="V26" i="6"/>
  <c r="W13" i="6"/>
  <c r="W11" i="6"/>
  <c r="W9" i="6"/>
  <c r="W15" i="6"/>
  <c r="W8" i="6"/>
  <c r="X4" i="6"/>
  <c r="W14" i="6"/>
  <c r="W12" i="6"/>
  <c r="W10" i="6"/>
  <c r="W16" i="6"/>
  <c r="W4" i="7"/>
  <c r="W20" i="3"/>
  <c r="X4" i="3"/>
  <c r="V20" i="10"/>
  <c r="W4" i="10"/>
  <c r="U33" i="10"/>
  <c r="U42" i="9"/>
  <c r="V4" i="9"/>
  <c r="H44" i="19"/>
  <c r="N20" i="6" l="1"/>
  <c r="H62" i="7"/>
  <c r="H44" i="7"/>
  <c r="G42" i="7"/>
  <c r="G60" i="7"/>
  <c r="H26" i="7"/>
  <c r="L20" i="6"/>
  <c r="H27" i="7"/>
  <c r="I20" i="6"/>
  <c r="H30" i="7"/>
  <c r="G64" i="7"/>
  <c r="G46" i="7"/>
  <c r="I67" i="7"/>
  <c r="I49" i="7"/>
  <c r="J33" i="7"/>
  <c r="C63" i="7"/>
  <c r="C69" i="7" s="1"/>
  <c r="C45" i="7"/>
  <c r="C51" i="7" s="1"/>
  <c r="D29" i="7"/>
  <c r="C35" i="7"/>
  <c r="C7" i="7" s="1"/>
  <c r="Q41" i="9"/>
  <c r="P43" i="9"/>
  <c r="G20" i="6"/>
  <c r="F25" i="7"/>
  <c r="E20" i="6"/>
  <c r="V22" i="6" s="1"/>
  <c r="V46" i="9" s="1"/>
  <c r="D23" i="7"/>
  <c r="I28" i="7"/>
  <c r="H66" i="7"/>
  <c r="I32" i="7"/>
  <c r="H48" i="7"/>
  <c r="D22" i="6"/>
  <c r="D46" i="9" s="1"/>
  <c r="F22" i="6"/>
  <c r="F46" i="9" s="1"/>
  <c r="O22" i="6"/>
  <c r="O46" i="9" s="1"/>
  <c r="S22" i="6"/>
  <c r="S46" i="9" s="1"/>
  <c r="H47" i="7"/>
  <c r="I31" i="7"/>
  <c r="H65" i="7"/>
  <c r="J50" i="7"/>
  <c r="K34" i="7"/>
  <c r="J68" i="7"/>
  <c r="E24" i="7"/>
  <c r="F20" i="6"/>
  <c r="X18" i="6"/>
  <c r="X69" i="6"/>
  <c r="X36" i="6" s="1"/>
  <c r="W35" i="6"/>
  <c r="X68" i="6"/>
  <c r="X70" i="6"/>
  <c r="X37" i="6" s="1"/>
  <c r="X67" i="6"/>
  <c r="X34" i="6" s="1"/>
  <c r="X66" i="6"/>
  <c r="X33" i="6" s="1"/>
  <c r="X62" i="6"/>
  <c r="X64" i="6"/>
  <c r="X65" i="6"/>
  <c r="X63" i="6"/>
  <c r="X59" i="6"/>
  <c r="X61" i="6"/>
  <c r="X60" i="6"/>
  <c r="W71" i="6"/>
  <c r="T55" i="6"/>
  <c r="S12" i="10" s="1"/>
  <c r="T13" i="11" s="1"/>
  <c r="T26" i="6"/>
  <c r="T38" i="6" s="1"/>
  <c r="U45" i="6"/>
  <c r="U28" i="6" s="1"/>
  <c r="U43" i="6"/>
  <c r="Z37" i="4"/>
  <c r="U50" i="6"/>
  <c r="U33" i="6" s="1"/>
  <c r="U46" i="6"/>
  <c r="U29" i="6" s="1"/>
  <c r="U44" i="6"/>
  <c r="U27" i="6" s="1"/>
  <c r="U48" i="6"/>
  <c r="U31" i="6" s="1"/>
  <c r="U49" i="6"/>
  <c r="U32" i="6" s="1"/>
  <c r="U47" i="6"/>
  <c r="U30" i="6" s="1"/>
  <c r="X17" i="6"/>
  <c r="X19" i="6"/>
  <c r="V38" i="6"/>
  <c r="W20" i="6"/>
  <c r="W22" i="6" s="1"/>
  <c r="W46" i="9" s="1"/>
  <c r="W32" i="6"/>
  <c r="W31" i="6"/>
  <c r="W29" i="6"/>
  <c r="W27" i="6"/>
  <c r="W30" i="6"/>
  <c r="W28" i="6"/>
  <c r="U22" i="9"/>
  <c r="U9" i="9"/>
  <c r="V12" i="11" s="1"/>
  <c r="V11" i="3"/>
  <c r="AC4" i="4"/>
  <c r="AB1" i="4"/>
  <c r="V10" i="9" s="1"/>
  <c r="Y4" i="6"/>
  <c r="X14" i="6"/>
  <c r="X11" i="6"/>
  <c r="X12" i="6"/>
  <c r="X9" i="6"/>
  <c r="X15" i="6"/>
  <c r="X13" i="6"/>
  <c r="X10" i="6"/>
  <c r="X16" i="6"/>
  <c r="X8" i="6"/>
  <c r="W26" i="6"/>
  <c r="X4" i="7"/>
  <c r="Y4" i="3"/>
  <c r="X20" i="3"/>
  <c r="V33" i="10"/>
  <c r="W20" i="10"/>
  <c r="X4" i="10"/>
  <c r="V42" i="9"/>
  <c r="W4" i="9"/>
  <c r="I44" i="19"/>
  <c r="I47" i="7" l="1"/>
  <c r="I65" i="7"/>
  <c r="J31" i="7"/>
  <c r="C72" i="7"/>
  <c r="C75" i="7" s="1"/>
  <c r="M22" i="6"/>
  <c r="M46" i="9" s="1"/>
  <c r="E22" i="6"/>
  <c r="E46" i="9" s="1"/>
  <c r="G25" i="7"/>
  <c r="F41" i="7"/>
  <c r="F59" i="7"/>
  <c r="C13" i="3"/>
  <c r="C14" i="9" s="1"/>
  <c r="C14" i="3"/>
  <c r="C11" i="9" s="1"/>
  <c r="J49" i="7"/>
  <c r="J67" i="7"/>
  <c r="K33" i="7"/>
  <c r="H43" i="7"/>
  <c r="H61" i="7"/>
  <c r="I27" i="7"/>
  <c r="N22" i="6"/>
  <c r="N46" i="9" s="1"/>
  <c r="H22" i="6"/>
  <c r="H46" i="9" s="1"/>
  <c r="T22" i="6"/>
  <c r="T46" i="9" s="1"/>
  <c r="I22" i="6"/>
  <c r="I46" i="9" s="1"/>
  <c r="I62" i="7"/>
  <c r="I44" i="7"/>
  <c r="J28" i="7"/>
  <c r="G22" i="6"/>
  <c r="G46" i="9" s="1"/>
  <c r="D63" i="7"/>
  <c r="D45" i="7"/>
  <c r="E29" i="7"/>
  <c r="H64" i="7"/>
  <c r="I30" i="7"/>
  <c r="H46" i="7"/>
  <c r="L22" i="6"/>
  <c r="L46" i="9" s="1"/>
  <c r="I66" i="7"/>
  <c r="I48" i="7"/>
  <c r="J32" i="7"/>
  <c r="Q43" i="9"/>
  <c r="R41" i="9"/>
  <c r="J22" i="6"/>
  <c r="J46" i="9" s="1"/>
  <c r="I26" i="7"/>
  <c r="H42" i="7"/>
  <c r="H60" i="7"/>
  <c r="U22" i="6"/>
  <c r="U46" i="9" s="1"/>
  <c r="K50" i="7"/>
  <c r="K68" i="7"/>
  <c r="L34" i="7"/>
  <c r="P22" i="6"/>
  <c r="P46" i="9" s="1"/>
  <c r="E40" i="7"/>
  <c r="F24" i="7"/>
  <c r="E58" i="7"/>
  <c r="R22" i="6"/>
  <c r="R46" i="9" s="1"/>
  <c r="Q22" i="6"/>
  <c r="Q46" i="9" s="1"/>
  <c r="K22" i="6"/>
  <c r="K46" i="9" s="1"/>
  <c r="D35" i="7"/>
  <c r="D7" i="7" s="1"/>
  <c r="D39" i="7"/>
  <c r="D51" i="7" s="1"/>
  <c r="E23" i="7"/>
  <c r="D57" i="7"/>
  <c r="C76" i="7"/>
  <c r="C53" i="7"/>
  <c r="C8" i="7" s="1"/>
  <c r="C9" i="7" s="1"/>
  <c r="C15" i="3"/>
  <c r="C12" i="9" s="1"/>
  <c r="Y18" i="6"/>
  <c r="Y69" i="6"/>
  <c r="Y36" i="6" s="1"/>
  <c r="X35" i="6"/>
  <c r="Y67" i="6"/>
  <c r="Y34" i="6" s="1"/>
  <c r="Y68" i="6"/>
  <c r="Y70" i="6"/>
  <c r="Y37" i="6" s="1"/>
  <c r="Y66" i="6"/>
  <c r="Y33" i="6" s="1"/>
  <c r="Y62" i="6"/>
  <c r="Y64" i="6"/>
  <c r="Y59" i="6"/>
  <c r="Y63" i="6"/>
  <c r="Y65" i="6"/>
  <c r="Y60" i="6"/>
  <c r="Y61" i="6"/>
  <c r="X71" i="6"/>
  <c r="U55" i="6"/>
  <c r="U26" i="6"/>
  <c r="U38" i="6" s="1"/>
  <c r="J28" i="19"/>
  <c r="C20" i="19"/>
  <c r="C28" i="19" s="1"/>
  <c r="W38" i="6"/>
  <c r="Y17" i="6"/>
  <c r="Y19" i="6"/>
  <c r="X20" i="6"/>
  <c r="X22" i="6" s="1"/>
  <c r="X46" i="9" s="1"/>
  <c r="X31" i="6"/>
  <c r="X32" i="6"/>
  <c r="V22" i="9"/>
  <c r="X27" i="6"/>
  <c r="X29" i="6"/>
  <c r="X30" i="6"/>
  <c r="X28" i="6"/>
  <c r="W11" i="3"/>
  <c r="AD4" i="4"/>
  <c r="AC1" i="4"/>
  <c r="W10" i="9" s="1"/>
  <c r="V9" i="9"/>
  <c r="W12" i="11" s="1"/>
  <c r="Z4" i="6"/>
  <c r="Y10" i="6"/>
  <c r="Y8" i="6"/>
  <c r="Y12" i="6"/>
  <c r="Y14" i="6"/>
  <c r="Y13" i="6"/>
  <c r="Y15" i="6"/>
  <c r="Y9" i="6"/>
  <c r="Y16" i="6"/>
  <c r="Y11" i="6"/>
  <c r="X26" i="6"/>
  <c r="Y4" i="7"/>
  <c r="Y20" i="3"/>
  <c r="Z4" i="3"/>
  <c r="X20" i="10"/>
  <c r="Y4" i="10"/>
  <c r="W33" i="10"/>
  <c r="W42" i="9"/>
  <c r="X4" i="9"/>
  <c r="J44" i="19"/>
  <c r="J47" i="7" l="1"/>
  <c r="J65" i="7"/>
  <c r="K31" i="7"/>
  <c r="C36" i="9"/>
  <c r="C7" i="10"/>
  <c r="E35" i="7"/>
  <c r="E7" i="7" s="1"/>
  <c r="E39" i="7"/>
  <c r="E51" i="7" s="1"/>
  <c r="E57" i="7"/>
  <c r="F23" i="7"/>
  <c r="E63" i="7"/>
  <c r="E45" i="7"/>
  <c r="F29" i="7"/>
  <c r="K28" i="7"/>
  <c r="J62" i="7"/>
  <c r="J44" i="7"/>
  <c r="I43" i="7"/>
  <c r="I61" i="7"/>
  <c r="J27" i="7"/>
  <c r="D13" i="3"/>
  <c r="D14" i="9" s="1"/>
  <c r="D14" i="3"/>
  <c r="D11" i="9" s="1"/>
  <c r="I64" i="7"/>
  <c r="I46" i="7"/>
  <c r="J30" i="7"/>
  <c r="G41" i="7"/>
  <c r="H25" i="7"/>
  <c r="G59" i="7"/>
  <c r="D69" i="7"/>
  <c r="F58" i="7"/>
  <c r="F40" i="7"/>
  <c r="G24" i="7"/>
  <c r="L50" i="7"/>
  <c r="L68" i="7"/>
  <c r="M34" i="7"/>
  <c r="R43" i="9"/>
  <c r="S41" i="9"/>
  <c r="K67" i="7"/>
  <c r="K49" i="7"/>
  <c r="L33" i="7"/>
  <c r="D53" i="7"/>
  <c r="D8" i="7" s="1"/>
  <c r="D9" i="7" s="1"/>
  <c r="D76" i="7"/>
  <c r="D15" i="3"/>
  <c r="D12" i="9" s="1"/>
  <c r="I60" i="7"/>
  <c r="J26" i="7"/>
  <c r="I42" i="7"/>
  <c r="J66" i="7"/>
  <c r="K32" i="7"/>
  <c r="J48" i="7"/>
  <c r="C77" i="7"/>
  <c r="C78" i="7" s="1"/>
  <c r="Z18" i="6"/>
  <c r="Z69" i="6"/>
  <c r="Z36" i="6" s="1"/>
  <c r="Y35" i="6"/>
  <c r="Y71" i="6"/>
  <c r="Z67" i="6"/>
  <c r="Z34" i="6" s="1"/>
  <c r="Z70" i="6"/>
  <c r="Z37" i="6" s="1"/>
  <c r="Z68" i="6"/>
  <c r="Z64" i="6"/>
  <c r="Z62" i="6"/>
  <c r="Z63" i="6"/>
  <c r="Z60" i="6"/>
  <c r="Z59" i="6"/>
  <c r="Z65" i="6"/>
  <c r="Z66" i="6"/>
  <c r="Z33" i="6" s="1"/>
  <c r="Z61" i="6"/>
  <c r="T12" i="10"/>
  <c r="U13" i="11" s="1"/>
  <c r="C13" i="11" s="1"/>
  <c r="J64" i="19"/>
  <c r="Z19" i="6"/>
  <c r="Z17" i="6"/>
  <c r="X38" i="6"/>
  <c r="Y20" i="6"/>
  <c r="Y22" i="6" s="1"/>
  <c r="Y46" i="9" s="1"/>
  <c r="Y31" i="6"/>
  <c r="Y32" i="6"/>
  <c r="Y30" i="6"/>
  <c r="Y29" i="6"/>
  <c r="Y27" i="6"/>
  <c r="W22" i="9"/>
  <c r="Y28" i="6"/>
  <c r="X11" i="3"/>
  <c r="AE4" i="4"/>
  <c r="Y11" i="3" s="1"/>
  <c r="AD1" i="4"/>
  <c r="X10" i="9" s="1"/>
  <c r="W9" i="9"/>
  <c r="X12" i="11" s="1"/>
  <c r="Y26" i="6"/>
  <c r="AA4" i="6"/>
  <c r="Z9" i="6"/>
  <c r="Z11" i="6"/>
  <c r="Z13" i="6"/>
  <c r="Z8" i="6"/>
  <c r="Z12" i="6"/>
  <c r="Z16" i="6"/>
  <c r="Z10" i="6"/>
  <c r="Z15" i="6"/>
  <c r="Z14" i="6"/>
  <c r="Z4" i="7"/>
  <c r="Z20" i="3"/>
  <c r="AA4" i="3"/>
  <c r="X33" i="10"/>
  <c r="Y20" i="10"/>
  <c r="Z4" i="10"/>
  <c r="X42" i="9"/>
  <c r="Y4" i="9"/>
  <c r="C79" i="7" l="1"/>
  <c r="C17" i="9"/>
  <c r="C8" i="10" s="1"/>
  <c r="M68" i="7"/>
  <c r="N34" i="7"/>
  <c r="M50" i="7"/>
  <c r="E76" i="7"/>
  <c r="E15" i="3"/>
  <c r="E12" i="9" s="1"/>
  <c r="E53" i="7"/>
  <c r="E8" i="7" s="1"/>
  <c r="E9" i="7" s="1"/>
  <c r="E14" i="3"/>
  <c r="E11" i="9" s="1"/>
  <c r="E13" i="3"/>
  <c r="E14" i="9" s="1"/>
  <c r="K66" i="7"/>
  <c r="K48" i="7"/>
  <c r="L32" i="7"/>
  <c r="S43" i="9"/>
  <c r="T41" i="9"/>
  <c r="D75" i="7"/>
  <c r="D77" i="7" s="1"/>
  <c r="D78" i="7" s="1"/>
  <c r="D17" i="9" s="1"/>
  <c r="D8" i="10" s="1"/>
  <c r="D72" i="7"/>
  <c r="K62" i="7"/>
  <c r="L28" i="7"/>
  <c r="K44" i="7"/>
  <c r="F57" i="7"/>
  <c r="G23" i="7"/>
  <c r="F35" i="7"/>
  <c r="F7" i="7" s="1"/>
  <c r="F39" i="7"/>
  <c r="D7" i="10"/>
  <c r="D36" i="9"/>
  <c r="H59" i="7"/>
  <c r="I25" i="7"/>
  <c r="H41" i="7"/>
  <c r="K65" i="7"/>
  <c r="K47" i="7"/>
  <c r="L31" i="7"/>
  <c r="J42" i="7"/>
  <c r="J60" i="7"/>
  <c r="K26" i="7"/>
  <c r="J61" i="7"/>
  <c r="J43" i="7"/>
  <c r="K27" i="7"/>
  <c r="L49" i="7"/>
  <c r="L67" i="7"/>
  <c r="M33" i="7"/>
  <c r="H24" i="7"/>
  <c r="G58" i="7"/>
  <c r="G40" i="7"/>
  <c r="J46" i="7"/>
  <c r="J64" i="7"/>
  <c r="K30" i="7"/>
  <c r="F63" i="7"/>
  <c r="F45" i="7"/>
  <c r="G29" i="7"/>
  <c r="E69" i="7"/>
  <c r="E75" i="7" s="1"/>
  <c r="E77" i="7" s="1"/>
  <c r="E78" i="7" s="1"/>
  <c r="E17" i="9" s="1"/>
  <c r="E8" i="10" s="1"/>
  <c r="AA18" i="6"/>
  <c r="AA69" i="6"/>
  <c r="AA36" i="6" s="1"/>
  <c r="Z35" i="6"/>
  <c r="Z71" i="6"/>
  <c r="AA70" i="6"/>
  <c r="AA37" i="6" s="1"/>
  <c r="AA68" i="6"/>
  <c r="AA67" i="6"/>
  <c r="AA34" i="6" s="1"/>
  <c r="AA62" i="6"/>
  <c r="AA64" i="6"/>
  <c r="AA65" i="6"/>
  <c r="AA59" i="6"/>
  <c r="AA61" i="6"/>
  <c r="AA63" i="6"/>
  <c r="AA60" i="6"/>
  <c r="AA66" i="6"/>
  <c r="AA33" i="6" s="1"/>
  <c r="Y38" i="6"/>
  <c r="AA17" i="6"/>
  <c r="AA19" i="6"/>
  <c r="Z20" i="6"/>
  <c r="Z22" i="6" s="1"/>
  <c r="Z46" i="9" s="1"/>
  <c r="Z32" i="6"/>
  <c r="Z31" i="6"/>
  <c r="Z28" i="6"/>
  <c r="Z29" i="6"/>
  <c r="Z27" i="6"/>
  <c r="Z30" i="6"/>
  <c r="X22" i="9"/>
  <c r="AE1" i="4"/>
  <c r="Y10" i="9" s="1"/>
  <c r="AF4" i="4"/>
  <c r="Z11" i="3" s="1"/>
  <c r="X9" i="9"/>
  <c r="Y12" i="11" s="1"/>
  <c r="Z26" i="6"/>
  <c r="AA15" i="6"/>
  <c r="AA12" i="6"/>
  <c r="AA13" i="6"/>
  <c r="AA10" i="6"/>
  <c r="AB4" i="6"/>
  <c r="AA9" i="6"/>
  <c r="AA8" i="6"/>
  <c r="AA11" i="6"/>
  <c r="AA14" i="6"/>
  <c r="AA16" i="6"/>
  <c r="AA4" i="7"/>
  <c r="AA20" i="3"/>
  <c r="AB4" i="3"/>
  <c r="Z20" i="10"/>
  <c r="AA4" i="10"/>
  <c r="Y33" i="10"/>
  <c r="Y42" i="9"/>
  <c r="Z4" i="9"/>
  <c r="L27" i="7" l="1"/>
  <c r="K61" i="7"/>
  <c r="K43" i="7"/>
  <c r="K64" i="7"/>
  <c r="K46" i="7"/>
  <c r="L30" i="7"/>
  <c r="F69" i="7"/>
  <c r="G63" i="7"/>
  <c r="G45" i="7"/>
  <c r="H29" i="7"/>
  <c r="I24" i="7"/>
  <c r="H58" i="7"/>
  <c r="H40" i="7"/>
  <c r="L47" i="7"/>
  <c r="L65" i="7"/>
  <c r="M31" i="7"/>
  <c r="I41" i="7"/>
  <c r="J25" i="7"/>
  <c r="I59" i="7"/>
  <c r="F51" i="7"/>
  <c r="H23" i="7"/>
  <c r="G39" i="7"/>
  <c r="G51" i="7" s="1"/>
  <c r="G35" i="7"/>
  <c r="G7" i="7" s="1"/>
  <c r="G57" i="7"/>
  <c r="N50" i="7"/>
  <c r="N68" i="7"/>
  <c r="O34" i="7"/>
  <c r="T43" i="9"/>
  <c r="U41" i="9"/>
  <c r="E36" i="9"/>
  <c r="E7" i="10"/>
  <c r="M49" i="7"/>
  <c r="M67" i="7"/>
  <c r="N33" i="7"/>
  <c r="K60" i="7"/>
  <c r="L26" i="7"/>
  <c r="K42" i="7"/>
  <c r="F14" i="3"/>
  <c r="F11" i="9" s="1"/>
  <c r="F13" i="3"/>
  <c r="F14" i="9" s="1"/>
  <c r="L62" i="7"/>
  <c r="L44" i="7"/>
  <c r="M28" i="7"/>
  <c r="E72" i="7"/>
  <c r="L48" i="7"/>
  <c r="L66" i="7"/>
  <c r="M32" i="7"/>
  <c r="D79" i="7"/>
  <c r="C10" i="7"/>
  <c r="C11" i="7" s="1"/>
  <c r="AB18" i="6"/>
  <c r="AB69" i="6"/>
  <c r="AB36" i="6" s="1"/>
  <c r="AA35" i="6"/>
  <c r="AA71" i="6"/>
  <c r="AB68" i="6"/>
  <c r="AB67" i="6"/>
  <c r="AB34" i="6" s="1"/>
  <c r="AB70" i="6"/>
  <c r="AB37" i="6" s="1"/>
  <c r="AB62" i="6"/>
  <c r="AB64" i="6"/>
  <c r="AB65" i="6"/>
  <c r="AB63" i="6"/>
  <c r="AB60" i="6"/>
  <c r="AB59" i="6"/>
  <c r="AB61" i="6"/>
  <c r="AB66" i="6"/>
  <c r="AB33" i="6" s="1"/>
  <c r="AB19" i="6"/>
  <c r="AB17" i="6"/>
  <c r="Z38" i="6"/>
  <c r="AA20" i="6"/>
  <c r="AA22" i="6" s="1"/>
  <c r="AA46" i="9" s="1"/>
  <c r="AA32" i="6"/>
  <c r="AA31" i="6"/>
  <c r="AA27" i="6"/>
  <c r="AA30" i="6"/>
  <c r="AA28" i="6"/>
  <c r="Y22" i="9"/>
  <c r="AA29" i="6"/>
  <c r="Y9" i="9"/>
  <c r="Z12" i="11" s="1"/>
  <c r="AG4" i="4"/>
  <c r="AA11" i="3" s="1"/>
  <c r="AF1" i="4"/>
  <c r="Z10" i="9" s="1"/>
  <c r="AA26" i="6"/>
  <c r="AB13" i="6"/>
  <c r="AB11" i="6"/>
  <c r="AB9" i="6"/>
  <c r="AB15" i="6"/>
  <c r="AB10" i="6"/>
  <c r="AC4" i="6"/>
  <c r="AB8" i="6"/>
  <c r="AB14" i="6"/>
  <c r="AB16" i="6"/>
  <c r="AB12" i="6"/>
  <c r="AB4" i="7"/>
  <c r="AC4" i="3"/>
  <c r="AB20" i="3"/>
  <c r="Z33" i="10"/>
  <c r="AB4" i="10"/>
  <c r="AA20" i="10"/>
  <c r="Z42" i="9"/>
  <c r="AA4" i="9"/>
  <c r="U43" i="9" l="1"/>
  <c r="V41" i="9"/>
  <c r="H39" i="7"/>
  <c r="H51" i="7" s="1"/>
  <c r="H57" i="7"/>
  <c r="H35" i="7"/>
  <c r="H7" i="7" s="1"/>
  <c r="I23" i="7"/>
  <c r="G69" i="7"/>
  <c r="K25" i="7"/>
  <c r="J59" i="7"/>
  <c r="J41" i="7"/>
  <c r="H63" i="7"/>
  <c r="H45" i="7"/>
  <c r="I29" i="7"/>
  <c r="L64" i="7"/>
  <c r="M30" i="7"/>
  <c r="L46" i="7"/>
  <c r="D10" i="7"/>
  <c r="D11" i="7" s="1"/>
  <c r="E79" i="7"/>
  <c r="G53" i="7"/>
  <c r="G8" i="7" s="1"/>
  <c r="G9" i="7" s="1"/>
  <c r="G76" i="7"/>
  <c r="G15" i="3"/>
  <c r="G12" i="9" s="1"/>
  <c r="F15" i="3"/>
  <c r="F12" i="9" s="1"/>
  <c r="F76" i="7"/>
  <c r="F53" i="7"/>
  <c r="F8" i="7" s="1"/>
  <c r="F9" i="7" s="1"/>
  <c r="M47" i="7"/>
  <c r="N31" i="7"/>
  <c r="M65" i="7"/>
  <c r="M66" i="7"/>
  <c r="M48" i="7"/>
  <c r="N32" i="7"/>
  <c r="L42" i="7"/>
  <c r="L60" i="7"/>
  <c r="M26" i="7"/>
  <c r="I40" i="7"/>
  <c r="J24" i="7"/>
  <c r="I58" i="7"/>
  <c r="F75" i="7"/>
  <c r="F72" i="7"/>
  <c r="D14" i="7"/>
  <c r="C15" i="7"/>
  <c r="C13" i="7" s="1"/>
  <c r="C18" i="7" s="1"/>
  <c r="C7" i="3" s="1"/>
  <c r="N28" i="7"/>
  <c r="M44" i="7"/>
  <c r="M62" i="7"/>
  <c r="N67" i="7"/>
  <c r="N49" i="7"/>
  <c r="O33" i="7"/>
  <c r="O68" i="7"/>
  <c r="P34" i="7"/>
  <c r="O50" i="7"/>
  <c r="G14" i="3"/>
  <c r="G11" i="9" s="1"/>
  <c r="G13" i="3"/>
  <c r="G14" i="9" s="1"/>
  <c r="L61" i="7"/>
  <c r="L43" i="7"/>
  <c r="M27" i="7"/>
  <c r="AC18" i="6"/>
  <c r="AC69" i="6"/>
  <c r="AC36" i="6" s="1"/>
  <c r="AB35" i="6"/>
  <c r="AC67" i="6"/>
  <c r="AC34" i="6" s="1"/>
  <c r="AC68" i="6"/>
  <c r="AC70" i="6"/>
  <c r="AC37" i="6" s="1"/>
  <c r="AC64" i="6"/>
  <c r="AC61" i="6"/>
  <c r="AC63" i="6"/>
  <c r="AC65" i="6"/>
  <c r="AC62" i="6"/>
  <c r="AC66" i="6"/>
  <c r="AC33" i="6" s="1"/>
  <c r="AC59" i="6"/>
  <c r="AC60" i="6"/>
  <c r="AB71" i="6"/>
  <c r="AA38" i="6"/>
  <c r="AC17" i="6"/>
  <c r="AC19" i="6"/>
  <c r="AB20" i="6"/>
  <c r="AB22" i="6" s="1"/>
  <c r="AB46" i="9" s="1"/>
  <c r="AB32" i="6"/>
  <c r="AB31" i="6"/>
  <c r="AB27" i="6"/>
  <c r="AB29" i="6"/>
  <c r="AB28" i="6"/>
  <c r="AB30" i="6"/>
  <c r="Z22" i="9"/>
  <c r="Z9" i="9"/>
  <c r="AA12" i="11" s="1"/>
  <c r="AH4" i="4"/>
  <c r="AB11" i="3" s="1"/>
  <c r="AG1" i="4"/>
  <c r="AA10" i="9" s="1"/>
  <c r="AB26" i="6"/>
  <c r="AD4" i="6"/>
  <c r="AC15" i="6"/>
  <c r="AC10" i="6"/>
  <c r="AC13" i="6"/>
  <c r="AC8" i="6"/>
  <c r="AC14" i="6"/>
  <c r="AC16" i="6"/>
  <c r="AC11" i="6"/>
  <c r="AC12" i="6"/>
  <c r="AC9" i="6"/>
  <c r="AC4" i="7"/>
  <c r="AC20" i="3"/>
  <c r="AD4" i="3"/>
  <c r="AA33" i="10"/>
  <c r="AB20" i="10"/>
  <c r="AC4" i="10"/>
  <c r="AA42" i="9"/>
  <c r="AB4" i="9"/>
  <c r="P33" i="7" l="1"/>
  <c r="O49" i="7"/>
  <c r="O67" i="7"/>
  <c r="N47" i="7"/>
  <c r="N65" i="7"/>
  <c r="O31" i="7"/>
  <c r="F36" i="9"/>
  <c r="F7" i="10"/>
  <c r="E10" i="7"/>
  <c r="E11" i="7" s="1"/>
  <c r="G75" i="7"/>
  <c r="G77" i="7" s="1"/>
  <c r="G78" i="7" s="1"/>
  <c r="G17" i="9" s="1"/>
  <c r="G8" i="10" s="1"/>
  <c r="H53" i="7"/>
  <c r="H8" i="7" s="1"/>
  <c r="H9" i="7" s="1"/>
  <c r="H15" i="3"/>
  <c r="H12" i="9" s="1"/>
  <c r="H76" i="7"/>
  <c r="G72" i="7"/>
  <c r="N62" i="7"/>
  <c r="O28" i="7"/>
  <c r="N44" i="7"/>
  <c r="K24" i="7"/>
  <c r="J58" i="7"/>
  <c r="J40" i="7"/>
  <c r="G7" i="10"/>
  <c r="G36" i="9"/>
  <c r="E14" i="7"/>
  <c r="D15" i="7"/>
  <c r="D13" i="7" s="1"/>
  <c r="D18" i="7" s="1"/>
  <c r="D7" i="3" s="1"/>
  <c r="I63" i="7"/>
  <c r="I45" i="7"/>
  <c r="J29" i="7"/>
  <c r="I39" i="7"/>
  <c r="J23" i="7"/>
  <c r="I57" i="7"/>
  <c r="I69" i="7" s="1"/>
  <c r="I75" i="7" s="1"/>
  <c r="I35" i="7"/>
  <c r="I7" i="7" s="1"/>
  <c r="V43" i="9"/>
  <c r="W41" i="9"/>
  <c r="M61" i="7"/>
  <c r="N27" i="7"/>
  <c r="M43" i="7"/>
  <c r="Q34" i="7"/>
  <c r="P68" i="7"/>
  <c r="P50" i="7"/>
  <c r="C9" i="3"/>
  <c r="C16" i="3" s="1"/>
  <c r="C18" i="3" s="1"/>
  <c r="C30" i="9"/>
  <c r="N66" i="7"/>
  <c r="O32" i="7"/>
  <c r="N48" i="7"/>
  <c r="K59" i="7"/>
  <c r="K41" i="7"/>
  <c r="L25" i="7"/>
  <c r="H13" i="3"/>
  <c r="H14" i="9" s="1"/>
  <c r="H14" i="3"/>
  <c r="H11" i="9" s="1"/>
  <c r="M60" i="7"/>
  <c r="N26" i="7"/>
  <c r="M42" i="7"/>
  <c r="F77" i="7"/>
  <c r="F78" i="7" s="1"/>
  <c r="F17" i="9" s="1"/>
  <c r="F8" i="10" s="1"/>
  <c r="M64" i="7"/>
  <c r="M46" i="7"/>
  <c r="N30" i="7"/>
  <c r="H69" i="7"/>
  <c r="AD18" i="6"/>
  <c r="AD69" i="6"/>
  <c r="AD36" i="6" s="1"/>
  <c r="AC35" i="6"/>
  <c r="AC71" i="6"/>
  <c r="AD67" i="6"/>
  <c r="AD34" i="6" s="1"/>
  <c r="AD70" i="6"/>
  <c r="AD37" i="6" s="1"/>
  <c r="AD68" i="6"/>
  <c r="AD62" i="6"/>
  <c r="AD66" i="6"/>
  <c r="AD33" i="6" s="1"/>
  <c r="AD59" i="6"/>
  <c r="AD65" i="6"/>
  <c r="AD60" i="6"/>
  <c r="AD64" i="6"/>
  <c r="AD61" i="6"/>
  <c r="AD63" i="6"/>
  <c r="AD17" i="6"/>
  <c r="AD19" i="6"/>
  <c r="AB38" i="6"/>
  <c r="AC20" i="6"/>
  <c r="AC22" i="6" s="1"/>
  <c r="AC46" i="9" s="1"/>
  <c r="AC31" i="6"/>
  <c r="AC32" i="6"/>
  <c r="AA22" i="9"/>
  <c r="AC30" i="6"/>
  <c r="AC27" i="6"/>
  <c r="AC29" i="6"/>
  <c r="AC28" i="6"/>
  <c r="AI4" i="4"/>
  <c r="AC11" i="3" s="1"/>
  <c r="AH1" i="4"/>
  <c r="AB10" i="9" s="1"/>
  <c r="AA9" i="9"/>
  <c r="AB12" i="11" s="1"/>
  <c r="AC26" i="6"/>
  <c r="AE4" i="6"/>
  <c r="AD13" i="6"/>
  <c r="AD8" i="6"/>
  <c r="AD14" i="6"/>
  <c r="AD11" i="6"/>
  <c r="AD12" i="6"/>
  <c r="AD9" i="6"/>
  <c r="AD10" i="6"/>
  <c r="AD16" i="6"/>
  <c r="AD15" i="6"/>
  <c r="AD4" i="7"/>
  <c r="AD20" i="3"/>
  <c r="AE4" i="3"/>
  <c r="AC20" i="10"/>
  <c r="AD4" i="10"/>
  <c r="AB33" i="10"/>
  <c r="AB42" i="9"/>
  <c r="AC4" i="9"/>
  <c r="Q50" i="7" l="1"/>
  <c r="R34" i="7"/>
  <c r="Q68" i="7"/>
  <c r="F14" i="7"/>
  <c r="E15" i="7"/>
  <c r="E13" i="7" s="1"/>
  <c r="E18" i="7" s="1"/>
  <c r="E7" i="3" s="1"/>
  <c r="P31" i="7"/>
  <c r="O65" i="7"/>
  <c r="O47" i="7"/>
  <c r="O26" i="7"/>
  <c r="N60" i="7"/>
  <c r="N42" i="7"/>
  <c r="C21" i="3"/>
  <c r="C52" i="9"/>
  <c r="I72" i="7"/>
  <c r="X41" i="9"/>
  <c r="W43" i="9"/>
  <c r="J35" i="7"/>
  <c r="J7" i="7" s="1"/>
  <c r="J39" i="7"/>
  <c r="J57" i="7"/>
  <c r="K23" i="7"/>
  <c r="O44" i="7"/>
  <c r="P28" i="7"/>
  <c r="O62" i="7"/>
  <c r="H36" i="9"/>
  <c r="H7" i="10"/>
  <c r="F79" i="7"/>
  <c r="Q33" i="7"/>
  <c r="P49" i="7"/>
  <c r="P67" i="7"/>
  <c r="N43" i="7"/>
  <c r="O27" i="7"/>
  <c r="N61" i="7"/>
  <c r="I14" i="3"/>
  <c r="I11" i="9" s="1"/>
  <c r="I13" i="3"/>
  <c r="I14" i="9" s="1"/>
  <c r="J63" i="7"/>
  <c r="K29" i="7"/>
  <c r="J45" i="7"/>
  <c r="H75" i="7"/>
  <c r="H77" i="7" s="1"/>
  <c r="H78" i="7" s="1"/>
  <c r="H17" i="9" s="1"/>
  <c r="H8" i="10" s="1"/>
  <c r="D56" i="11"/>
  <c r="D57" i="11" s="1"/>
  <c r="C24" i="9"/>
  <c r="C9" i="10" s="1"/>
  <c r="H72" i="7"/>
  <c r="O30" i="7"/>
  <c r="N46" i="7"/>
  <c r="N64" i="7"/>
  <c r="L59" i="7"/>
  <c r="M25" i="7"/>
  <c r="L41" i="7"/>
  <c r="P32" i="7"/>
  <c r="O48" i="7"/>
  <c r="O66" i="7"/>
  <c r="I51" i="7"/>
  <c r="D9" i="3"/>
  <c r="D30" i="9"/>
  <c r="K40" i="7"/>
  <c r="K58" i="7"/>
  <c r="L24" i="7"/>
  <c r="AE18" i="6"/>
  <c r="AE69" i="6"/>
  <c r="AE36" i="6" s="1"/>
  <c r="AD35" i="6"/>
  <c r="AD71" i="6"/>
  <c r="AE70" i="6"/>
  <c r="AE37" i="6" s="1"/>
  <c r="AE68" i="6"/>
  <c r="AE67" i="6"/>
  <c r="AE34" i="6" s="1"/>
  <c r="AE59" i="6"/>
  <c r="AE61" i="6"/>
  <c r="AE63" i="6"/>
  <c r="AE65" i="6"/>
  <c r="AE66" i="6"/>
  <c r="AE33" i="6" s="1"/>
  <c r="AE62" i="6"/>
  <c r="AE64" i="6"/>
  <c r="AE60" i="6"/>
  <c r="AC38" i="6"/>
  <c r="AE17" i="6"/>
  <c r="AE19" i="6"/>
  <c r="AD20" i="6"/>
  <c r="AD22" i="6" s="1"/>
  <c r="AD46" i="9" s="1"/>
  <c r="AD32" i="6"/>
  <c r="AD31" i="6"/>
  <c r="AD29" i="6"/>
  <c r="AD27" i="6"/>
  <c r="AD30" i="6"/>
  <c r="AD28" i="6"/>
  <c r="AB22" i="9"/>
  <c r="AB9" i="9"/>
  <c r="AC12" i="11" s="1"/>
  <c r="AI1" i="4"/>
  <c r="AC10" i="9" s="1"/>
  <c r="AJ4" i="4"/>
  <c r="AD11" i="3" s="1"/>
  <c r="AD26" i="6"/>
  <c r="AE11" i="6"/>
  <c r="AE13" i="6"/>
  <c r="AF4" i="6"/>
  <c r="AE9" i="6"/>
  <c r="AE16" i="6"/>
  <c r="AE15" i="6"/>
  <c r="AE10" i="6"/>
  <c r="AE14" i="6"/>
  <c r="AE8" i="6"/>
  <c r="AE12" i="6"/>
  <c r="AE4" i="7"/>
  <c r="AE20" i="3"/>
  <c r="AF4" i="3"/>
  <c r="AC33" i="10"/>
  <c r="AD20" i="10"/>
  <c r="AE4" i="10"/>
  <c r="AC42" i="9"/>
  <c r="AD4" i="9"/>
  <c r="J13" i="3" l="1"/>
  <c r="J14" i="9" s="1"/>
  <c r="J14" i="3"/>
  <c r="J11" i="9" s="1"/>
  <c r="E9" i="3"/>
  <c r="E30" i="9"/>
  <c r="D3" i="9"/>
  <c r="D24" i="9"/>
  <c r="D9" i="10" s="1"/>
  <c r="E56" i="11"/>
  <c r="E57" i="11" s="1"/>
  <c r="K63" i="7"/>
  <c r="L29" i="7"/>
  <c r="K45" i="7"/>
  <c r="K35" i="7"/>
  <c r="K7" i="7" s="1"/>
  <c r="K39" i="7"/>
  <c r="K51" i="7" s="1"/>
  <c r="K53" i="7" s="1"/>
  <c r="K8" i="7" s="1"/>
  <c r="K9" i="7" s="1"/>
  <c r="K57" i="7"/>
  <c r="K69" i="7" s="1"/>
  <c r="L23" i="7"/>
  <c r="R50" i="7"/>
  <c r="S34" i="7"/>
  <c r="R68" i="7"/>
  <c r="M59" i="7"/>
  <c r="M41" i="7"/>
  <c r="N25" i="7"/>
  <c r="P30" i="7"/>
  <c r="O46" i="7"/>
  <c r="O64" i="7"/>
  <c r="D53" i="9"/>
  <c r="E54" i="9" s="1"/>
  <c r="C56" i="9"/>
  <c r="C6" i="9" s="1"/>
  <c r="O60" i="7"/>
  <c r="O42" i="7"/>
  <c r="P26" i="7"/>
  <c r="L58" i="7"/>
  <c r="L40" i="7"/>
  <c r="M24" i="7"/>
  <c r="P66" i="7"/>
  <c r="Q32" i="7"/>
  <c r="P48" i="7"/>
  <c r="P27" i="7"/>
  <c r="O43" i="7"/>
  <c r="O61" i="7"/>
  <c r="Q49" i="7"/>
  <c r="R33" i="7"/>
  <c r="Q67" i="7"/>
  <c r="J69" i="7"/>
  <c r="Y41" i="9"/>
  <c r="X43" i="9"/>
  <c r="I76" i="7"/>
  <c r="I77" i="7" s="1"/>
  <c r="I78" i="7" s="1"/>
  <c r="I17" i="9" s="1"/>
  <c r="I8" i="10" s="1"/>
  <c r="I15" i="3"/>
  <c r="I12" i="9" s="1"/>
  <c r="J53" i="7"/>
  <c r="J8" i="7" s="1"/>
  <c r="J9" i="7" s="1"/>
  <c r="I53" i="7"/>
  <c r="I8" i="7" s="1"/>
  <c r="I9" i="7" s="1"/>
  <c r="F10" i="7"/>
  <c r="F11" i="7" s="1"/>
  <c r="G79" i="7"/>
  <c r="P44" i="7"/>
  <c r="P62" i="7"/>
  <c r="Q28" i="7"/>
  <c r="J51" i="7"/>
  <c r="Q31" i="7"/>
  <c r="P47" i="7"/>
  <c r="P65" i="7"/>
  <c r="AF18" i="6"/>
  <c r="AF69" i="6"/>
  <c r="AF36" i="6" s="1"/>
  <c r="AE35" i="6"/>
  <c r="AE71" i="6"/>
  <c r="AF68" i="6"/>
  <c r="AF35" i="6" s="1"/>
  <c r="AF70" i="6"/>
  <c r="AF37" i="6" s="1"/>
  <c r="AF67" i="6"/>
  <c r="AF34" i="6" s="1"/>
  <c r="AF62" i="6"/>
  <c r="AF64" i="6"/>
  <c r="AF63" i="6"/>
  <c r="AF60" i="6"/>
  <c r="AF59" i="6"/>
  <c r="AF61" i="6"/>
  <c r="AF66" i="6"/>
  <c r="AF33" i="6" s="1"/>
  <c r="AF65" i="6"/>
  <c r="AF19" i="6"/>
  <c r="AF17" i="6"/>
  <c r="AD38" i="6"/>
  <c r="AE20" i="6"/>
  <c r="AE22" i="6" s="1"/>
  <c r="AE46" i="9" s="1"/>
  <c r="AE32" i="6"/>
  <c r="AE31" i="6"/>
  <c r="AE27" i="6"/>
  <c r="AE29" i="6"/>
  <c r="AE28" i="6"/>
  <c r="AE30" i="6"/>
  <c r="AC22" i="9"/>
  <c r="AC9" i="9"/>
  <c r="AD12" i="11" s="1"/>
  <c r="AJ1" i="4"/>
  <c r="AD10" i="9" s="1"/>
  <c r="AK4" i="4"/>
  <c r="AF14" i="6"/>
  <c r="AF9" i="6"/>
  <c r="AF15" i="6"/>
  <c r="AF11" i="6"/>
  <c r="AF12" i="6"/>
  <c r="AF13" i="6"/>
  <c r="AF10" i="6"/>
  <c r="AG4" i="6"/>
  <c r="AF16" i="6"/>
  <c r="AF8" i="6"/>
  <c r="AE26" i="6"/>
  <c r="AF4" i="7"/>
  <c r="AG4" i="3"/>
  <c r="AF20" i="3"/>
  <c r="AE20" i="10"/>
  <c r="AF4" i="10"/>
  <c r="AD33" i="10"/>
  <c r="AD42" i="9"/>
  <c r="AE4" i="9"/>
  <c r="R32" i="7" l="1"/>
  <c r="Q66" i="7"/>
  <c r="Q48" i="7"/>
  <c r="P42" i="7"/>
  <c r="P60" i="7"/>
  <c r="Q26" i="7"/>
  <c r="N41" i="7"/>
  <c r="O25" i="7"/>
  <c r="N59" i="7"/>
  <c r="S50" i="7"/>
  <c r="S68" i="7"/>
  <c r="T34" i="7"/>
  <c r="J76" i="7"/>
  <c r="J15" i="3"/>
  <c r="J12" i="9" s="1"/>
  <c r="H79" i="7"/>
  <c r="G10" i="7"/>
  <c r="G11" i="7" s="1"/>
  <c r="R49" i="7"/>
  <c r="R67" i="7"/>
  <c r="S33" i="7"/>
  <c r="P43" i="7"/>
  <c r="P61" i="7"/>
  <c r="Q27" i="7"/>
  <c r="M40" i="7"/>
  <c r="M58" i="7"/>
  <c r="N24" i="7"/>
  <c r="K13" i="3"/>
  <c r="K14" i="9" s="1"/>
  <c r="K14" i="3"/>
  <c r="K11" i="9" s="1"/>
  <c r="R31" i="7"/>
  <c r="Q47" i="7"/>
  <c r="Q65" i="7"/>
  <c r="K15" i="3"/>
  <c r="K12" i="9" s="1"/>
  <c r="K76" i="7"/>
  <c r="E24" i="9"/>
  <c r="E9" i="10" s="1"/>
  <c r="F56" i="11"/>
  <c r="F57" i="11" s="1"/>
  <c r="E3" i="9"/>
  <c r="R28" i="7"/>
  <c r="Q62" i="7"/>
  <c r="Q44" i="7"/>
  <c r="G14" i="7"/>
  <c r="F15" i="7"/>
  <c r="F13" i="7" s="1"/>
  <c r="F18" i="7" s="1"/>
  <c r="F7" i="3" s="1"/>
  <c r="I36" i="9"/>
  <c r="I7" i="10"/>
  <c r="Z41" i="9"/>
  <c r="Y43" i="9"/>
  <c r="L57" i="7"/>
  <c r="L35" i="7"/>
  <c r="L7" i="7" s="1"/>
  <c r="M23" i="7"/>
  <c r="L39" i="7"/>
  <c r="J75" i="7"/>
  <c r="J77" i="7" s="1"/>
  <c r="J78" i="7" s="1"/>
  <c r="J17" i="9" s="1"/>
  <c r="J8" i="10" s="1"/>
  <c r="J72" i="7"/>
  <c r="D70" i="11"/>
  <c r="D72" i="11" s="1"/>
  <c r="C13" i="9"/>
  <c r="D6" i="11"/>
  <c r="C31" i="10"/>
  <c r="Q30" i="7"/>
  <c r="P46" i="7"/>
  <c r="P64" i="7"/>
  <c r="K72" i="7"/>
  <c r="K75" i="7"/>
  <c r="L63" i="7"/>
  <c r="M29" i="7"/>
  <c r="L45" i="7"/>
  <c r="AG18" i="6"/>
  <c r="AG69" i="6"/>
  <c r="AG36" i="6" s="1"/>
  <c r="AG67" i="6"/>
  <c r="AG34" i="6" s="1"/>
  <c r="AG68" i="6"/>
  <c r="AG70" i="6"/>
  <c r="AG37" i="6" s="1"/>
  <c r="AG59" i="6"/>
  <c r="AG63" i="6"/>
  <c r="AG60" i="6"/>
  <c r="AG62" i="6"/>
  <c r="AG66" i="6"/>
  <c r="AG33" i="6" s="1"/>
  <c r="AG65" i="6"/>
  <c r="AG61" i="6"/>
  <c r="AG64" i="6"/>
  <c r="AF71" i="6"/>
  <c r="AE38" i="6"/>
  <c r="AG17" i="6"/>
  <c r="AG19" i="6"/>
  <c r="AF20" i="6"/>
  <c r="AF22" i="6" s="1"/>
  <c r="AF46" i="9" s="1"/>
  <c r="AF31" i="6"/>
  <c r="AF32" i="6"/>
  <c r="AF29" i="6"/>
  <c r="AF28" i="6"/>
  <c r="AF30" i="6"/>
  <c r="AD22" i="9"/>
  <c r="AF27" i="6"/>
  <c r="AE11" i="3"/>
  <c r="AL4" i="4"/>
  <c r="AK1" i="4"/>
  <c r="AE10" i="9" s="1"/>
  <c r="AD9" i="9"/>
  <c r="AE12" i="11" s="1"/>
  <c r="AF26" i="6"/>
  <c r="AG15" i="6"/>
  <c r="AH4" i="6"/>
  <c r="AG11" i="6"/>
  <c r="AG12" i="6"/>
  <c r="AG14" i="6"/>
  <c r="AG13" i="6"/>
  <c r="AG10" i="6"/>
  <c r="AG16" i="6"/>
  <c r="AG9" i="6"/>
  <c r="AG8" i="6"/>
  <c r="AG4" i="7"/>
  <c r="AG20" i="3"/>
  <c r="AH4" i="3"/>
  <c r="AE33" i="10"/>
  <c r="AF20" i="10"/>
  <c r="AG4" i="10"/>
  <c r="AE42" i="9"/>
  <c r="AF4" i="9"/>
  <c r="C16" i="9" l="1"/>
  <c r="C37" i="9" s="1"/>
  <c r="R65" i="7"/>
  <c r="R47" i="7"/>
  <c r="S31" i="7"/>
  <c r="O24" i="7"/>
  <c r="N58" i="7"/>
  <c r="N40" i="7"/>
  <c r="K77" i="7"/>
  <c r="K78" i="7" s="1"/>
  <c r="K17" i="9" s="1"/>
  <c r="K8" i="10" s="1"/>
  <c r="Q46" i="7"/>
  <c r="Q64" i="7"/>
  <c r="R30" i="7"/>
  <c r="L69" i="7"/>
  <c r="K7" i="10"/>
  <c r="K36" i="9"/>
  <c r="J36" i="9"/>
  <c r="J7" i="10"/>
  <c r="Q60" i="7"/>
  <c r="R26" i="7"/>
  <c r="Q42" i="7"/>
  <c r="L51" i="7"/>
  <c r="S49" i="7"/>
  <c r="S67" i="7"/>
  <c r="T33" i="7"/>
  <c r="G15" i="7"/>
  <c r="G13" i="7" s="1"/>
  <c r="G18" i="7" s="1"/>
  <c r="G7" i="3" s="1"/>
  <c r="H14" i="7"/>
  <c r="R48" i="7"/>
  <c r="S32" i="7"/>
  <c r="R66" i="7"/>
  <c r="L13" i="3"/>
  <c r="L14" i="9" s="1"/>
  <c r="L14" i="3"/>
  <c r="L11" i="9" s="1"/>
  <c r="M63" i="7"/>
  <c r="M45" i="7"/>
  <c r="N29" i="7"/>
  <c r="D8" i="11"/>
  <c r="D37" i="11"/>
  <c r="D38" i="11" s="1"/>
  <c r="D39" i="11" s="1"/>
  <c r="D40" i="11" s="1"/>
  <c r="D42" i="11" s="1"/>
  <c r="M35" i="7"/>
  <c r="M7" i="7" s="1"/>
  <c r="N23" i="7"/>
  <c r="M57" i="7"/>
  <c r="M69" i="7" s="1"/>
  <c r="M39" i="7"/>
  <c r="M51" i="7" s="1"/>
  <c r="Z43" i="9"/>
  <c r="AA41" i="9"/>
  <c r="F9" i="3"/>
  <c r="F30" i="9"/>
  <c r="S28" i="7"/>
  <c r="R62" i="7"/>
  <c r="R44" i="7"/>
  <c r="Q61" i="7"/>
  <c r="R27" i="7"/>
  <c r="Q43" i="7"/>
  <c r="H10" i="7"/>
  <c r="H11" i="7" s="1"/>
  <c r="I79" i="7"/>
  <c r="T68" i="7"/>
  <c r="T50" i="7"/>
  <c r="U34" i="7"/>
  <c r="O41" i="7"/>
  <c r="O59" i="7"/>
  <c r="P25" i="7"/>
  <c r="AH18" i="6"/>
  <c r="AH69" i="6"/>
  <c r="AH36" i="6" s="1"/>
  <c r="AG35" i="6"/>
  <c r="AH67" i="6"/>
  <c r="AH34" i="6" s="1"/>
  <c r="AH70" i="6"/>
  <c r="AH37" i="6" s="1"/>
  <c r="AH68" i="6"/>
  <c r="AH59" i="6"/>
  <c r="AH63" i="6"/>
  <c r="AH61" i="6"/>
  <c r="AH65" i="6"/>
  <c r="AH66" i="6"/>
  <c r="AH33" i="6" s="1"/>
  <c r="AH64" i="6"/>
  <c r="AH62" i="6"/>
  <c r="AH60" i="6"/>
  <c r="AG71" i="6"/>
  <c r="AF38" i="6"/>
  <c r="AH17" i="6"/>
  <c r="AH19" i="6"/>
  <c r="AG20" i="6"/>
  <c r="AG22" i="6" s="1"/>
  <c r="AG46" i="9" s="1"/>
  <c r="AG31" i="6"/>
  <c r="AG32" i="6"/>
  <c r="AG27" i="6"/>
  <c r="AG29" i="6"/>
  <c r="AE22" i="9"/>
  <c r="AG30" i="6"/>
  <c r="AG28" i="6"/>
  <c r="AF11" i="3"/>
  <c r="AL1" i="4"/>
  <c r="AF10" i="9" s="1"/>
  <c r="AM4" i="4"/>
  <c r="AE9" i="9"/>
  <c r="AF12" i="11" s="1"/>
  <c r="AG26" i="6"/>
  <c r="AI4" i="6"/>
  <c r="AH13" i="6"/>
  <c r="AH11" i="6"/>
  <c r="AH9" i="6"/>
  <c r="AH12" i="6"/>
  <c r="AH10" i="6"/>
  <c r="AH8" i="6"/>
  <c r="AH15" i="6"/>
  <c r="AH16" i="6"/>
  <c r="AH14" i="6"/>
  <c r="AH4" i="7"/>
  <c r="AH20" i="3"/>
  <c r="AI4" i="3"/>
  <c r="AG20" i="10"/>
  <c r="AH4" i="10"/>
  <c r="AF33" i="10"/>
  <c r="AF42" i="9"/>
  <c r="AG4" i="9"/>
  <c r="G30" i="9" l="1"/>
  <c r="G9" i="3"/>
  <c r="P41" i="7"/>
  <c r="P59" i="7"/>
  <c r="Q25" i="7"/>
  <c r="AB41" i="9"/>
  <c r="AA43" i="9"/>
  <c r="N39" i="7"/>
  <c r="N51" i="7" s="1"/>
  <c r="N57" i="7"/>
  <c r="O23" i="7"/>
  <c r="N35" i="7"/>
  <c r="N7" i="7" s="1"/>
  <c r="N63" i="7"/>
  <c r="O29" i="7"/>
  <c r="N45" i="7"/>
  <c r="R60" i="7"/>
  <c r="R42" i="7"/>
  <c r="S26" i="7"/>
  <c r="S27" i="7"/>
  <c r="R43" i="7"/>
  <c r="R61" i="7"/>
  <c r="T28" i="7"/>
  <c r="S62" i="7"/>
  <c r="S44" i="7"/>
  <c r="M14" i="3"/>
  <c r="M11" i="9" s="1"/>
  <c r="M13" i="3"/>
  <c r="M14" i="9" s="1"/>
  <c r="L76" i="7"/>
  <c r="L15" i="3"/>
  <c r="L12" i="9" s="1"/>
  <c r="L53" i="7"/>
  <c r="L8" i="7" s="1"/>
  <c r="L9" i="7" s="1"/>
  <c r="O40" i="7"/>
  <c r="O58" i="7"/>
  <c r="P24" i="7"/>
  <c r="I10" i="7"/>
  <c r="I11" i="7" s="1"/>
  <c r="J79" i="7"/>
  <c r="F24" i="9"/>
  <c r="F9" i="10" s="1"/>
  <c r="F3" i="9"/>
  <c r="G56" i="11"/>
  <c r="G57" i="11" s="1"/>
  <c r="M76" i="7"/>
  <c r="M15" i="3"/>
  <c r="M12" i="9" s="1"/>
  <c r="M53" i="7"/>
  <c r="M8" i="7" s="1"/>
  <c r="M9" i="7" s="1"/>
  <c r="E43" i="11"/>
  <c r="F44" i="11"/>
  <c r="S48" i="7"/>
  <c r="S66" i="7"/>
  <c r="T32" i="7"/>
  <c r="T49" i="7"/>
  <c r="T67" i="7"/>
  <c r="U33" i="7"/>
  <c r="L75" i="7"/>
  <c r="L77" i="7" s="1"/>
  <c r="L78" i="7" s="1"/>
  <c r="L17" i="9" s="1"/>
  <c r="L8" i="10" s="1"/>
  <c r="L72" i="7"/>
  <c r="S47" i="7"/>
  <c r="S65" i="7"/>
  <c r="T31" i="7"/>
  <c r="C18" i="9"/>
  <c r="C20" i="9" s="1"/>
  <c r="V34" i="7"/>
  <c r="U50" i="7"/>
  <c r="U68" i="7"/>
  <c r="H15" i="7"/>
  <c r="H13" i="7" s="1"/>
  <c r="H18" i="7" s="1"/>
  <c r="H7" i="3" s="1"/>
  <c r="I14" i="7"/>
  <c r="M75" i="7"/>
  <c r="M77" i="7" s="1"/>
  <c r="M78" i="7" s="1"/>
  <c r="M17" i="9" s="1"/>
  <c r="M8" i="10" s="1"/>
  <c r="M72" i="7"/>
  <c r="S30" i="7"/>
  <c r="R46" i="7"/>
  <c r="R64" i="7"/>
  <c r="AI18" i="6"/>
  <c r="AI69" i="6"/>
  <c r="AI36" i="6" s="1"/>
  <c r="AH35" i="6"/>
  <c r="AH71" i="6"/>
  <c r="AI70" i="6"/>
  <c r="AI37" i="6" s="1"/>
  <c r="AI68" i="6"/>
  <c r="AI67" i="6"/>
  <c r="AI34" i="6" s="1"/>
  <c r="AI63" i="6"/>
  <c r="AI60" i="6"/>
  <c r="AI62" i="6"/>
  <c r="AI65" i="6"/>
  <c r="AI66" i="6"/>
  <c r="AI33" i="6" s="1"/>
  <c r="AI61" i="6"/>
  <c r="AI64" i="6"/>
  <c r="AI59" i="6"/>
  <c r="AG38" i="6"/>
  <c r="AI17" i="6"/>
  <c r="AI19" i="6"/>
  <c r="AH20" i="6"/>
  <c r="AH22" i="6" s="1"/>
  <c r="AH46" i="9" s="1"/>
  <c r="AH32" i="6"/>
  <c r="AH31" i="6"/>
  <c r="AH30" i="6"/>
  <c r="AH29" i="6"/>
  <c r="AF22" i="9"/>
  <c r="AH28" i="6"/>
  <c r="AH27" i="6"/>
  <c r="AF9" i="9"/>
  <c r="AG12" i="11" s="1"/>
  <c r="AG11" i="3"/>
  <c r="AM1" i="4"/>
  <c r="AG10" i="9" s="1"/>
  <c r="AN4" i="4"/>
  <c r="AH26" i="6"/>
  <c r="AJ4" i="6"/>
  <c r="AI15" i="6"/>
  <c r="AI10" i="6"/>
  <c r="AI8" i="6"/>
  <c r="AI9" i="6"/>
  <c r="AI16" i="6"/>
  <c r="AI13" i="6"/>
  <c r="AI11" i="6"/>
  <c r="AI14" i="6"/>
  <c r="AI12" i="6"/>
  <c r="AI4" i="7"/>
  <c r="AI20" i="3"/>
  <c r="AJ4" i="3"/>
  <c r="AG33" i="10"/>
  <c r="AH20" i="10"/>
  <c r="AI4" i="10"/>
  <c r="AG42" i="9"/>
  <c r="AH4" i="9"/>
  <c r="H30" i="9" l="1"/>
  <c r="H9" i="3"/>
  <c r="T47" i="7"/>
  <c r="T65" i="7"/>
  <c r="U31" i="7"/>
  <c r="U49" i="7"/>
  <c r="U67" i="7"/>
  <c r="V33" i="7"/>
  <c r="N76" i="7"/>
  <c r="N15" i="3"/>
  <c r="N12" i="9" s="1"/>
  <c r="N53" i="7"/>
  <c r="N8" i="7" s="1"/>
  <c r="N9" i="7" s="1"/>
  <c r="M36" i="9"/>
  <c r="M7" i="10"/>
  <c r="L7" i="10"/>
  <c r="L36" i="9"/>
  <c r="N13" i="3"/>
  <c r="N14" i="9" s="1"/>
  <c r="N14" i="3"/>
  <c r="N11" i="9" s="1"/>
  <c r="V68" i="7"/>
  <c r="W34" i="7"/>
  <c r="V50" i="7"/>
  <c r="K79" i="7"/>
  <c r="J10" i="7"/>
  <c r="J11" i="7" s="1"/>
  <c r="P40" i="7"/>
  <c r="P58" i="7"/>
  <c r="Q24" i="7"/>
  <c r="S43" i="7"/>
  <c r="S61" i="7"/>
  <c r="T27" i="7"/>
  <c r="O39" i="7"/>
  <c r="O35" i="7"/>
  <c r="O7" i="7" s="1"/>
  <c r="O57" i="7"/>
  <c r="O69" i="7" s="1"/>
  <c r="P23" i="7"/>
  <c r="AB43" i="9"/>
  <c r="AC41" i="9"/>
  <c r="S46" i="7"/>
  <c r="T30" i="7"/>
  <c r="S64" i="7"/>
  <c r="C32" i="9"/>
  <c r="C35" i="9"/>
  <c r="C38" i="9" s="1"/>
  <c r="D25" i="11" s="1"/>
  <c r="C6" i="10"/>
  <c r="C10" i="10" s="1"/>
  <c r="C14" i="10" s="1"/>
  <c r="C28" i="9"/>
  <c r="T48" i="7"/>
  <c r="T66" i="7"/>
  <c r="U32" i="7"/>
  <c r="J14" i="7"/>
  <c r="I15" i="7"/>
  <c r="I13" i="7" s="1"/>
  <c r="I18" i="7" s="1"/>
  <c r="I7" i="3" s="1"/>
  <c r="U28" i="7"/>
  <c r="T44" i="7"/>
  <c r="T62" i="7"/>
  <c r="S60" i="7"/>
  <c r="T26" i="7"/>
  <c r="S42" i="7"/>
  <c r="O63" i="7"/>
  <c r="P29" i="7"/>
  <c r="O45" i="7"/>
  <c r="N69" i="7"/>
  <c r="Q41" i="7"/>
  <c r="R25" i="7"/>
  <c r="Q59" i="7"/>
  <c r="H56" i="11"/>
  <c r="H57" i="11" s="1"/>
  <c r="G3" i="9"/>
  <c r="G24" i="9"/>
  <c r="G9" i="10" s="1"/>
  <c r="AJ18" i="6"/>
  <c r="AJ69" i="6"/>
  <c r="AJ36" i="6" s="1"/>
  <c r="AI35" i="6"/>
  <c r="AI71" i="6"/>
  <c r="AJ68" i="6"/>
  <c r="AJ35" i="6" s="1"/>
  <c r="AJ70" i="6"/>
  <c r="AJ37" i="6" s="1"/>
  <c r="AJ67" i="6"/>
  <c r="AJ34" i="6" s="1"/>
  <c r="AJ64" i="6"/>
  <c r="AJ66" i="6"/>
  <c r="AJ33" i="6" s="1"/>
  <c r="AJ62" i="6"/>
  <c r="AJ59" i="6"/>
  <c r="AJ61" i="6"/>
  <c r="AJ65" i="6"/>
  <c r="AJ60" i="6"/>
  <c r="AJ63" i="6"/>
  <c r="AH38" i="6"/>
  <c r="AJ17" i="6"/>
  <c r="AJ19" i="6"/>
  <c r="AI20" i="6"/>
  <c r="AI22" i="6" s="1"/>
  <c r="AI46" i="9" s="1"/>
  <c r="AI32" i="6"/>
  <c r="AI31" i="6"/>
  <c r="AI29" i="6"/>
  <c r="AI30" i="6"/>
  <c r="AI28" i="6"/>
  <c r="AG22" i="9"/>
  <c r="AI27" i="6"/>
  <c r="AH11" i="3"/>
  <c r="AN1" i="4"/>
  <c r="AH10" i="9" s="1"/>
  <c r="AO4" i="4"/>
  <c r="AG9" i="9"/>
  <c r="AH12" i="11" s="1"/>
  <c r="AJ13" i="6"/>
  <c r="AK4" i="6"/>
  <c r="AJ11" i="6"/>
  <c r="AJ9" i="6"/>
  <c r="AJ14" i="6"/>
  <c r="AJ10" i="6"/>
  <c r="AJ15" i="6"/>
  <c r="AJ16" i="6"/>
  <c r="AJ8" i="6"/>
  <c r="AJ12" i="6"/>
  <c r="AI26" i="6"/>
  <c r="AJ4" i="7"/>
  <c r="AK4" i="3"/>
  <c r="AJ20" i="3"/>
  <c r="AI20" i="10"/>
  <c r="AJ4" i="10"/>
  <c r="AH33" i="10"/>
  <c r="AH42" i="9"/>
  <c r="AI4" i="9"/>
  <c r="I30" i="9" l="1"/>
  <c r="I9" i="3"/>
  <c r="N75" i="7"/>
  <c r="N77" i="7" s="1"/>
  <c r="N78" i="7" s="1"/>
  <c r="N17" i="9" s="1"/>
  <c r="N8" i="10" s="1"/>
  <c r="N72" i="7"/>
  <c r="O75" i="7"/>
  <c r="O72" i="7"/>
  <c r="T42" i="7"/>
  <c r="T60" i="7"/>
  <c r="U26" i="7"/>
  <c r="U62" i="7"/>
  <c r="V28" i="7"/>
  <c r="U44" i="7"/>
  <c r="D51" i="11"/>
  <c r="D52" i="11" s="1"/>
  <c r="D62" i="11" s="1"/>
  <c r="D61" i="11" s="1"/>
  <c r="C45" i="9"/>
  <c r="C49" i="9" s="1"/>
  <c r="C47" i="9" s="1"/>
  <c r="AC43" i="9"/>
  <c r="AD41" i="9"/>
  <c r="O13" i="3"/>
  <c r="O14" i="9" s="1"/>
  <c r="O14" i="3"/>
  <c r="O11" i="9" s="1"/>
  <c r="X34" i="7"/>
  <c r="W50" i="7"/>
  <c r="W68" i="7"/>
  <c r="V49" i="7"/>
  <c r="V67" i="7"/>
  <c r="W33" i="7"/>
  <c r="S25" i="7"/>
  <c r="R41" i="7"/>
  <c r="R59" i="7"/>
  <c r="P63" i="7"/>
  <c r="Q29" i="7"/>
  <c r="P45" i="7"/>
  <c r="U48" i="7"/>
  <c r="V32" i="7"/>
  <c r="U66" i="7"/>
  <c r="C21" i="10"/>
  <c r="C22" i="10" s="1"/>
  <c r="D17" i="11"/>
  <c r="C15" i="10"/>
  <c r="C30" i="10"/>
  <c r="C32" i="10" s="1"/>
  <c r="C19" i="10"/>
  <c r="T46" i="7"/>
  <c r="U30" i="7"/>
  <c r="T64" i="7"/>
  <c r="O51" i="7"/>
  <c r="K14" i="7"/>
  <c r="J15" i="7"/>
  <c r="J13" i="7" s="1"/>
  <c r="J18" i="7" s="1"/>
  <c r="J7" i="3" s="1"/>
  <c r="N7" i="10"/>
  <c r="N36" i="9"/>
  <c r="P39" i="7"/>
  <c r="P51" i="7" s="1"/>
  <c r="P35" i="7"/>
  <c r="P7" i="7" s="1"/>
  <c r="P57" i="7"/>
  <c r="P69" i="7" s="1"/>
  <c r="Q23" i="7"/>
  <c r="T43" i="7"/>
  <c r="U27" i="7"/>
  <c r="T61" i="7"/>
  <c r="Q58" i="7"/>
  <c r="R24" i="7"/>
  <c r="Q40" i="7"/>
  <c r="K10" i="7"/>
  <c r="K11" i="7" s="1"/>
  <c r="L79" i="7"/>
  <c r="U65" i="7"/>
  <c r="V31" i="7"/>
  <c r="U47" i="7"/>
  <c r="H3" i="9"/>
  <c r="H24" i="9"/>
  <c r="H9" i="10" s="1"/>
  <c r="AK18" i="6"/>
  <c r="AK69" i="6"/>
  <c r="AK36" i="6" s="1"/>
  <c r="AJ71" i="6"/>
  <c r="AK67" i="6"/>
  <c r="AK34" i="6" s="1"/>
  <c r="AK70" i="6"/>
  <c r="AK37" i="6" s="1"/>
  <c r="AK68" i="6"/>
  <c r="AK62" i="6"/>
  <c r="AK61" i="6"/>
  <c r="AK60" i="6"/>
  <c r="AK59" i="6"/>
  <c r="AK66" i="6"/>
  <c r="AK33" i="6" s="1"/>
  <c r="AK64" i="6"/>
  <c r="AK65" i="6"/>
  <c r="AK63" i="6"/>
  <c r="AI38" i="6"/>
  <c r="AK17" i="6"/>
  <c r="AK19" i="6"/>
  <c r="AJ20" i="6"/>
  <c r="AJ22" i="6" s="1"/>
  <c r="AJ46" i="9" s="1"/>
  <c r="AJ32" i="6"/>
  <c r="AJ31" i="6"/>
  <c r="AJ30" i="6"/>
  <c r="AH22" i="9"/>
  <c r="AJ27" i="6"/>
  <c r="AJ28" i="6"/>
  <c r="AJ29" i="6"/>
  <c r="AH9" i="9"/>
  <c r="AI12" i="11" s="1"/>
  <c r="AI11" i="3"/>
  <c r="AO1" i="4"/>
  <c r="AI10" i="9" s="1"/>
  <c r="AP4" i="4"/>
  <c r="AK15" i="6"/>
  <c r="AL4" i="6"/>
  <c r="AK8" i="6"/>
  <c r="AK12" i="6"/>
  <c r="AK9" i="6"/>
  <c r="AK14" i="6"/>
  <c r="AK16" i="6"/>
  <c r="AK11" i="6"/>
  <c r="AK10" i="6"/>
  <c r="AK13" i="6"/>
  <c r="AJ26" i="6"/>
  <c r="AK4" i="7"/>
  <c r="AK20" i="3"/>
  <c r="AL4" i="3"/>
  <c r="AI33" i="10"/>
  <c r="AJ20" i="10"/>
  <c r="AK4" i="10"/>
  <c r="AI42" i="9"/>
  <c r="AJ4" i="9"/>
  <c r="X68" i="7" l="1"/>
  <c r="X50" i="7"/>
  <c r="Y34" i="7"/>
  <c r="W28" i="7"/>
  <c r="V62" i="7"/>
  <c r="V44" i="7"/>
  <c r="K15" i="7"/>
  <c r="K13" i="7" s="1"/>
  <c r="K18" i="7" s="1"/>
  <c r="K7" i="3" s="1"/>
  <c r="L14" i="7"/>
  <c r="P72" i="7"/>
  <c r="P75" i="7"/>
  <c r="O53" i="7"/>
  <c r="O8" i="7" s="1"/>
  <c r="O9" i="7" s="1"/>
  <c r="O76" i="7"/>
  <c r="O77" i="7" s="1"/>
  <c r="O78" i="7" s="1"/>
  <c r="O17" i="9" s="1"/>
  <c r="O8" i="10" s="1"/>
  <c r="O15" i="3"/>
  <c r="O12" i="9" s="1"/>
  <c r="L10" i="7"/>
  <c r="L11" i="7" s="1"/>
  <c r="M79" i="7"/>
  <c r="Q35" i="7"/>
  <c r="Q7" i="7" s="1"/>
  <c r="Q57" i="7"/>
  <c r="Q69" i="7" s="1"/>
  <c r="R23" i="7"/>
  <c r="Q39" i="7"/>
  <c r="V65" i="7"/>
  <c r="W31" i="7"/>
  <c r="V47" i="7"/>
  <c r="U43" i="7"/>
  <c r="V27" i="7"/>
  <c r="U61" i="7"/>
  <c r="P13" i="3"/>
  <c r="P14" i="9" s="1"/>
  <c r="P14" i="3"/>
  <c r="P11" i="9" s="1"/>
  <c r="C35" i="10"/>
  <c r="D20" i="11" s="1"/>
  <c r="D21" i="11" s="1"/>
  <c r="C34" i="10"/>
  <c r="D19" i="11" s="1"/>
  <c r="D27" i="11"/>
  <c r="Q63" i="7"/>
  <c r="Q45" i="7"/>
  <c r="R29" i="7"/>
  <c r="T25" i="7"/>
  <c r="S41" i="7"/>
  <c r="S59" i="7"/>
  <c r="U42" i="7"/>
  <c r="U60" i="7"/>
  <c r="V26" i="7"/>
  <c r="R40" i="7"/>
  <c r="R58" i="7"/>
  <c r="S24" i="7"/>
  <c r="P15" i="3"/>
  <c r="P12" i="9" s="1"/>
  <c r="P76" i="7"/>
  <c r="P53" i="7"/>
  <c r="P8" i="7" s="1"/>
  <c r="P9" i="7" s="1"/>
  <c r="J9" i="3"/>
  <c r="J30" i="9"/>
  <c r="U46" i="7"/>
  <c r="V30" i="7"/>
  <c r="U64" i="7"/>
  <c r="W32" i="7"/>
  <c r="V48" i="7"/>
  <c r="V66" i="7"/>
  <c r="W49" i="7"/>
  <c r="W67" i="7"/>
  <c r="X33" i="7"/>
  <c r="AE41" i="9"/>
  <c r="AD43" i="9"/>
  <c r="I24" i="9"/>
  <c r="I9" i="10" s="1"/>
  <c r="I3" i="9"/>
  <c r="AL18" i="6"/>
  <c r="AL69" i="6"/>
  <c r="AL36" i="6" s="1"/>
  <c r="AK35" i="6"/>
  <c r="AK71" i="6"/>
  <c r="AL67" i="6"/>
  <c r="AL34" i="6" s="1"/>
  <c r="AL70" i="6"/>
  <c r="AL37" i="6" s="1"/>
  <c r="AL68" i="6"/>
  <c r="AL61" i="6"/>
  <c r="AL65" i="6"/>
  <c r="AL60" i="6"/>
  <c r="AL66" i="6"/>
  <c r="AL33" i="6" s="1"/>
  <c r="AL64" i="6"/>
  <c r="AL63" i="6"/>
  <c r="AL62" i="6"/>
  <c r="AL59" i="6"/>
  <c r="AL17" i="6"/>
  <c r="AL19" i="6"/>
  <c r="AJ38" i="6"/>
  <c r="AK20" i="6"/>
  <c r="AK22" i="6" s="1"/>
  <c r="AK46" i="9" s="1"/>
  <c r="AK31" i="6"/>
  <c r="AK32" i="6"/>
  <c r="AK30" i="6"/>
  <c r="AK27" i="6"/>
  <c r="AK29" i="6"/>
  <c r="AI22" i="9"/>
  <c r="AK28" i="6"/>
  <c r="AI9" i="9"/>
  <c r="AJ12" i="11" s="1"/>
  <c r="AJ11" i="3"/>
  <c r="AQ4" i="4"/>
  <c r="AP1" i="4"/>
  <c r="AJ10" i="9" s="1"/>
  <c r="AK26" i="6"/>
  <c r="AM4" i="6"/>
  <c r="AL11" i="6"/>
  <c r="AL8" i="6"/>
  <c r="AL9" i="6"/>
  <c r="AL13" i="6"/>
  <c r="AL12" i="6"/>
  <c r="AL16" i="6"/>
  <c r="AL15" i="6"/>
  <c r="AL10" i="6"/>
  <c r="AL14" i="6"/>
  <c r="AL4" i="7"/>
  <c r="AL20" i="3"/>
  <c r="AM4" i="3"/>
  <c r="AK20" i="10"/>
  <c r="AL4" i="10"/>
  <c r="AJ33" i="10"/>
  <c r="AJ42" i="9"/>
  <c r="AK4" i="9"/>
  <c r="R63" i="7" l="1"/>
  <c r="S29" i="7"/>
  <c r="R45" i="7"/>
  <c r="Q75" i="7"/>
  <c r="Q72" i="7"/>
  <c r="W62" i="7"/>
  <c r="W44" i="7"/>
  <c r="X28" i="7"/>
  <c r="AF41" i="9"/>
  <c r="AE43" i="9"/>
  <c r="V46" i="7"/>
  <c r="W30" i="7"/>
  <c r="V64" i="7"/>
  <c r="V61" i="7"/>
  <c r="W27" i="7"/>
  <c r="V43" i="7"/>
  <c r="Q14" i="3"/>
  <c r="Q11" i="9" s="1"/>
  <c r="Q13" i="3"/>
  <c r="Q14" i="9" s="1"/>
  <c r="K9" i="3"/>
  <c r="K30" i="9"/>
  <c r="Y50" i="7"/>
  <c r="Y68" i="7"/>
  <c r="Z34" i="7"/>
  <c r="T24" i="7"/>
  <c r="S40" i="7"/>
  <c r="S58" i="7"/>
  <c r="W47" i="7"/>
  <c r="X31" i="7"/>
  <c r="W65" i="7"/>
  <c r="X49" i="7"/>
  <c r="X67" i="7"/>
  <c r="Y33" i="7"/>
  <c r="V60" i="7"/>
  <c r="W26" i="7"/>
  <c r="V42" i="7"/>
  <c r="Q51" i="7"/>
  <c r="N79" i="7"/>
  <c r="M10" i="7"/>
  <c r="M11" i="7" s="1"/>
  <c r="P77" i="7"/>
  <c r="P78" i="7" s="1"/>
  <c r="P17" i="9" s="1"/>
  <c r="P8" i="10" s="1"/>
  <c r="X32" i="7"/>
  <c r="W48" i="7"/>
  <c r="W66" i="7"/>
  <c r="J3" i="9"/>
  <c r="J24" i="9"/>
  <c r="J9" i="10" s="1"/>
  <c r="P7" i="10"/>
  <c r="P36" i="9"/>
  <c r="T41" i="7"/>
  <c r="T59" i="7"/>
  <c r="U25" i="7"/>
  <c r="R39" i="7"/>
  <c r="R51" i="7" s="1"/>
  <c r="S23" i="7"/>
  <c r="R57" i="7"/>
  <c r="R69" i="7" s="1"/>
  <c r="R35" i="7"/>
  <c r="R7" i="7" s="1"/>
  <c r="L15" i="7"/>
  <c r="L13" i="7" s="1"/>
  <c r="L18" i="7" s="1"/>
  <c r="L7" i="3" s="1"/>
  <c r="M14" i="7"/>
  <c r="O36" i="9"/>
  <c r="O7" i="10"/>
  <c r="AM18" i="6"/>
  <c r="AM69" i="6"/>
  <c r="AM36" i="6" s="1"/>
  <c r="AL35" i="6"/>
  <c r="AL71" i="6"/>
  <c r="AM70" i="6"/>
  <c r="AM37" i="6" s="1"/>
  <c r="AM68" i="6"/>
  <c r="AM67" i="6"/>
  <c r="AM34" i="6" s="1"/>
  <c r="AM65" i="6"/>
  <c r="AM60" i="6"/>
  <c r="AM66" i="6"/>
  <c r="AM33" i="6" s="1"/>
  <c r="AM62" i="6"/>
  <c r="AM64" i="6"/>
  <c r="AM61" i="6"/>
  <c r="AM59" i="6"/>
  <c r="AM63" i="6"/>
  <c r="AK38" i="6"/>
  <c r="AM17" i="6"/>
  <c r="AM19" i="6"/>
  <c r="AL20" i="6"/>
  <c r="AL22" i="6" s="1"/>
  <c r="AL46" i="9" s="1"/>
  <c r="AL31" i="6"/>
  <c r="AL32" i="6"/>
  <c r="AL30" i="6"/>
  <c r="AL29" i="6"/>
  <c r="AL27" i="6"/>
  <c r="AJ22" i="9"/>
  <c r="AL28" i="6"/>
  <c r="AK11" i="3"/>
  <c r="AR4" i="4"/>
  <c r="AQ1" i="4"/>
  <c r="AK10" i="9" s="1"/>
  <c r="AJ9" i="9"/>
  <c r="AK12" i="11" s="1"/>
  <c r="AL26" i="6"/>
  <c r="AM13" i="6"/>
  <c r="AM11" i="6"/>
  <c r="AM9" i="6"/>
  <c r="AM12" i="6"/>
  <c r="AM15" i="6"/>
  <c r="AM10" i="6"/>
  <c r="AN4" i="6"/>
  <c r="AM14" i="6"/>
  <c r="AM8" i="6"/>
  <c r="AM16" i="6"/>
  <c r="AM4" i="7"/>
  <c r="AM20" i="3"/>
  <c r="AN4" i="3"/>
  <c r="AK33" i="10"/>
  <c r="AL20" i="10"/>
  <c r="AM4" i="10"/>
  <c r="AK42" i="9"/>
  <c r="AL4" i="9"/>
  <c r="R13" i="3" l="1"/>
  <c r="R14" i="9" s="1"/>
  <c r="R14" i="3"/>
  <c r="R11" i="9" s="1"/>
  <c r="U59" i="7"/>
  <c r="V25" i="7"/>
  <c r="U41" i="7"/>
  <c r="N14" i="7"/>
  <c r="M15" i="7"/>
  <c r="AA34" i="7"/>
  <c r="Z50" i="7"/>
  <c r="Z68" i="7"/>
  <c r="AF43" i="9"/>
  <c r="AG41" i="9"/>
  <c r="R75" i="7"/>
  <c r="R72" i="7"/>
  <c r="X66" i="7"/>
  <c r="X48" i="7"/>
  <c r="Y32" i="7"/>
  <c r="O79" i="7"/>
  <c r="N10" i="7"/>
  <c r="N11" i="7" s="1"/>
  <c r="X27" i="7"/>
  <c r="W61" i="7"/>
  <c r="W43" i="7"/>
  <c r="X30" i="7"/>
  <c r="W46" i="7"/>
  <c r="W64" i="7"/>
  <c r="W42" i="7"/>
  <c r="W60" i="7"/>
  <c r="X26" i="7"/>
  <c r="M13" i="7"/>
  <c r="M18" i="7" s="1"/>
  <c r="M7" i="3" s="1"/>
  <c r="S57" i="7"/>
  <c r="S35" i="7"/>
  <c r="S7" i="7" s="1"/>
  <c r="S39" i="7"/>
  <c r="S51" i="7" s="1"/>
  <c r="T23" i="7"/>
  <c r="Q15" i="3"/>
  <c r="Q12" i="9" s="1"/>
  <c r="Q76" i="7"/>
  <c r="Q77" i="7" s="1"/>
  <c r="Q78" i="7" s="1"/>
  <c r="Q17" i="9" s="1"/>
  <c r="Q8" i="10" s="1"/>
  <c r="S53" i="7"/>
  <c r="S8" i="7" s="1"/>
  <c r="S9" i="7" s="1"/>
  <c r="Q53" i="7"/>
  <c r="Q8" i="7" s="1"/>
  <c r="Q9" i="7" s="1"/>
  <c r="Y67" i="7"/>
  <c r="Y49" i="7"/>
  <c r="Z33" i="7"/>
  <c r="X47" i="7"/>
  <c r="X65" i="7"/>
  <c r="Y31" i="7"/>
  <c r="T58" i="7"/>
  <c r="U24" i="7"/>
  <c r="T40" i="7"/>
  <c r="Y28" i="7"/>
  <c r="X44" i="7"/>
  <c r="X62" i="7"/>
  <c r="S63" i="7"/>
  <c r="S45" i="7"/>
  <c r="T29" i="7"/>
  <c r="L30" i="9"/>
  <c r="L9" i="3"/>
  <c r="R15" i="3"/>
  <c r="R12" i="9" s="1"/>
  <c r="R76" i="7"/>
  <c r="R77" i="7" s="1"/>
  <c r="R78" i="7" s="1"/>
  <c r="R17" i="9" s="1"/>
  <c r="R8" i="10" s="1"/>
  <c r="R53" i="7"/>
  <c r="R8" i="7" s="1"/>
  <c r="R9" i="7" s="1"/>
  <c r="K3" i="9"/>
  <c r="K24" i="9"/>
  <c r="K9" i="10" s="1"/>
  <c r="AN18" i="6"/>
  <c r="AN69" i="6"/>
  <c r="AN36" i="6" s="1"/>
  <c r="AM35" i="6"/>
  <c r="AM71" i="6"/>
  <c r="AN68" i="6"/>
  <c r="AN35" i="6" s="1"/>
  <c r="AN70" i="6"/>
  <c r="AN37" i="6" s="1"/>
  <c r="AN67" i="6"/>
  <c r="AN34" i="6" s="1"/>
  <c r="AN59" i="6"/>
  <c r="AN66" i="6"/>
  <c r="AN33" i="6" s="1"/>
  <c r="AN61" i="6"/>
  <c r="AN65" i="6"/>
  <c r="AN60" i="6"/>
  <c r="AN62" i="6"/>
  <c r="AN64" i="6"/>
  <c r="AN63" i="6"/>
  <c r="AL38" i="6"/>
  <c r="AN17" i="6"/>
  <c r="AN19" i="6"/>
  <c r="AM20" i="6"/>
  <c r="AM22" i="6" s="1"/>
  <c r="AM46" i="9" s="1"/>
  <c r="AM31" i="6"/>
  <c r="AM32" i="6"/>
  <c r="AM29" i="6"/>
  <c r="AK22" i="9"/>
  <c r="AM30" i="6"/>
  <c r="AM27" i="6"/>
  <c r="AM28" i="6"/>
  <c r="AL11" i="3"/>
  <c r="AS4" i="4"/>
  <c r="AR1" i="4"/>
  <c r="AL10" i="9" s="1"/>
  <c r="AK9" i="9"/>
  <c r="AL12" i="11" s="1"/>
  <c r="AM26" i="6"/>
  <c r="AN15" i="6"/>
  <c r="AO4" i="6"/>
  <c r="AN12" i="6"/>
  <c r="AN9" i="6"/>
  <c r="AN10" i="6"/>
  <c r="AN11" i="6"/>
  <c r="AN14" i="6"/>
  <c r="AN13" i="6"/>
  <c r="AN8" i="6"/>
  <c r="AN16" i="6"/>
  <c r="AN4" i="7"/>
  <c r="AO4" i="3"/>
  <c r="AN20" i="3"/>
  <c r="AN4" i="10"/>
  <c r="AM20" i="10"/>
  <c r="AL33" i="10"/>
  <c r="AL42" i="9"/>
  <c r="AM4" i="9"/>
  <c r="Y30" i="7" l="1"/>
  <c r="X46" i="7"/>
  <c r="X64" i="7"/>
  <c r="W25" i="7"/>
  <c r="V41" i="7"/>
  <c r="V59" i="7"/>
  <c r="T63" i="7"/>
  <c r="T45" i="7"/>
  <c r="U29" i="7"/>
  <c r="U58" i="7"/>
  <c r="U40" i="7"/>
  <c r="V24" i="7"/>
  <c r="Q36" i="9"/>
  <c r="Q7" i="10"/>
  <c r="S13" i="3"/>
  <c r="S14" i="9" s="1"/>
  <c r="S14" i="3"/>
  <c r="S11" i="9" s="1"/>
  <c r="O14" i="7"/>
  <c r="N15" i="7"/>
  <c r="L3" i="9"/>
  <c r="L24" i="9"/>
  <c r="L9" i="10" s="1"/>
  <c r="S76" i="7"/>
  <c r="S15" i="3"/>
  <c r="S12" i="9" s="1"/>
  <c r="Y26" i="7"/>
  <c r="X42" i="7"/>
  <c r="X60" i="7"/>
  <c r="AH41" i="9"/>
  <c r="AG43" i="9"/>
  <c r="AA68" i="7"/>
  <c r="AA50" i="7"/>
  <c r="AB34" i="7"/>
  <c r="R36" i="9"/>
  <c r="R7" i="10"/>
  <c r="Z49" i="7"/>
  <c r="Z67" i="7"/>
  <c r="AA33" i="7"/>
  <c r="S69" i="7"/>
  <c r="P79" i="7"/>
  <c r="O10" i="7"/>
  <c r="O11" i="7" s="1"/>
  <c r="N13" i="7"/>
  <c r="N18" i="7" s="1"/>
  <c r="N7" i="3" s="1"/>
  <c r="Y44" i="7"/>
  <c r="Z28" i="7"/>
  <c r="Y62" i="7"/>
  <c r="Z31" i="7"/>
  <c r="Y47" i="7"/>
  <c r="Y65" i="7"/>
  <c r="T39" i="7"/>
  <c r="T51" i="7" s="1"/>
  <c r="U23" i="7"/>
  <c r="T57" i="7"/>
  <c r="T35" i="7"/>
  <c r="T7" i="7" s="1"/>
  <c r="M30" i="9"/>
  <c r="M9" i="3"/>
  <c r="Y27" i="7"/>
  <c r="X43" i="7"/>
  <c r="X61" i="7"/>
  <c r="Y48" i="7"/>
  <c r="Y66" i="7"/>
  <c r="Z32" i="7"/>
  <c r="AO18" i="6"/>
  <c r="AO69" i="6"/>
  <c r="AO36" i="6" s="1"/>
  <c r="AO67" i="6"/>
  <c r="AO34" i="6" s="1"/>
  <c r="AO68" i="6"/>
  <c r="AO35" i="6" s="1"/>
  <c r="AO70" i="6"/>
  <c r="AO37" i="6" s="1"/>
  <c r="AO62" i="6"/>
  <c r="AO61" i="6"/>
  <c r="AO66" i="6"/>
  <c r="AO33" i="6" s="1"/>
  <c r="AO64" i="6"/>
  <c r="AO65" i="6"/>
  <c r="AO59" i="6"/>
  <c r="AO60" i="6"/>
  <c r="AO63" i="6"/>
  <c r="AN71" i="6"/>
  <c r="AM38" i="6"/>
  <c r="AO19" i="6"/>
  <c r="AO17" i="6"/>
  <c r="AN20" i="6"/>
  <c r="AN22" i="6" s="1"/>
  <c r="AN46" i="9" s="1"/>
  <c r="AN31" i="6"/>
  <c r="AN32" i="6"/>
  <c r="AN28" i="6"/>
  <c r="AN27" i="6"/>
  <c r="AN30" i="6"/>
  <c r="AL22" i="9"/>
  <c r="AN29" i="6"/>
  <c r="AM11" i="3"/>
  <c r="AS1" i="4"/>
  <c r="AM10" i="9" s="1"/>
  <c r="AT4" i="4"/>
  <c r="AL9" i="9"/>
  <c r="AM12" i="11" s="1"/>
  <c r="AO14" i="6"/>
  <c r="AP4" i="6"/>
  <c r="AO9" i="6"/>
  <c r="AO16" i="6"/>
  <c r="AO13" i="6"/>
  <c r="AO15" i="6"/>
  <c r="AO8" i="6"/>
  <c r="AO12" i="6"/>
  <c r="AO10" i="6"/>
  <c r="AO11" i="6"/>
  <c r="AN26" i="6"/>
  <c r="AO4" i="7"/>
  <c r="AO20" i="3"/>
  <c r="AP4" i="3"/>
  <c r="AN20" i="10"/>
  <c r="AO4" i="10"/>
  <c r="AM33" i="10"/>
  <c r="AN4" i="9"/>
  <c r="AM42" i="9"/>
  <c r="AA49" i="7" l="1"/>
  <c r="AA67" i="7"/>
  <c r="AB33" i="7"/>
  <c r="Y43" i="7"/>
  <c r="Y61" i="7"/>
  <c r="Z27" i="7"/>
  <c r="T69" i="7"/>
  <c r="Z62" i="7"/>
  <c r="Z44" i="7"/>
  <c r="AA28" i="7"/>
  <c r="Q79" i="7"/>
  <c r="P10" i="7"/>
  <c r="P11" i="7" s="1"/>
  <c r="AA32" i="7"/>
  <c r="Z48" i="7"/>
  <c r="Z66" i="7"/>
  <c r="T14" i="3"/>
  <c r="T11" i="9" s="1"/>
  <c r="T13" i="3"/>
  <c r="T14" i="9" s="1"/>
  <c r="O15" i="7"/>
  <c r="O13" i="7" s="1"/>
  <c r="O18" i="7" s="1"/>
  <c r="O7" i="3" s="1"/>
  <c r="P14" i="7"/>
  <c r="U35" i="7"/>
  <c r="U7" i="7" s="1"/>
  <c r="U39" i="7"/>
  <c r="V23" i="7"/>
  <c r="U57" i="7"/>
  <c r="S75" i="7"/>
  <c r="S77" i="7" s="1"/>
  <c r="S78" i="7" s="1"/>
  <c r="S17" i="9" s="1"/>
  <c r="S8" i="10" s="1"/>
  <c r="S72" i="7"/>
  <c r="Y42" i="7"/>
  <c r="Z26" i="7"/>
  <c r="Y60" i="7"/>
  <c r="U63" i="7"/>
  <c r="V29" i="7"/>
  <c r="U45" i="7"/>
  <c r="Y46" i="7"/>
  <c r="Y64" i="7"/>
  <c r="Z30" i="7"/>
  <c r="M3" i="9"/>
  <c r="M24" i="9"/>
  <c r="M9" i="10" s="1"/>
  <c r="T15" i="3"/>
  <c r="T12" i="9" s="1"/>
  <c r="T76" i="7"/>
  <c r="T53" i="7"/>
  <c r="T8" i="7" s="1"/>
  <c r="T9" i="7" s="1"/>
  <c r="Z47" i="7"/>
  <c r="Z65" i="7"/>
  <c r="AA31" i="7"/>
  <c r="N30" i="9"/>
  <c r="N9" i="3"/>
  <c r="AB50" i="7"/>
  <c r="AB68" i="7"/>
  <c r="AC34" i="7"/>
  <c r="AI41" i="9"/>
  <c r="AH43" i="9"/>
  <c r="S36" i="9"/>
  <c r="S7" i="10"/>
  <c r="V40" i="7"/>
  <c r="V58" i="7"/>
  <c r="W24" i="7"/>
  <c r="X25" i="7"/>
  <c r="W59" i="7"/>
  <c r="W41" i="7"/>
  <c r="AP18" i="6"/>
  <c r="AP69" i="6"/>
  <c r="AP36" i="6" s="1"/>
  <c r="AO71" i="6"/>
  <c r="AP67" i="6"/>
  <c r="AP34" i="6" s="1"/>
  <c r="AP70" i="6"/>
  <c r="AP37" i="6" s="1"/>
  <c r="AP68" i="6"/>
  <c r="AP64" i="6"/>
  <c r="AP65" i="6"/>
  <c r="AP60" i="6"/>
  <c r="AP66" i="6"/>
  <c r="AP33" i="6" s="1"/>
  <c r="AP62" i="6"/>
  <c r="AP59" i="6"/>
  <c r="AP61" i="6"/>
  <c r="AP63" i="6"/>
  <c r="AN38" i="6"/>
  <c r="AP19" i="6"/>
  <c r="AP17" i="6"/>
  <c r="AO20" i="6"/>
  <c r="AO22" i="6" s="1"/>
  <c r="AO46" i="9" s="1"/>
  <c r="AO31" i="6"/>
  <c r="AO32" i="6"/>
  <c r="AO28" i="6"/>
  <c r="AO30" i="6"/>
  <c r="AM22" i="9"/>
  <c r="AO29" i="6"/>
  <c r="AO27" i="6"/>
  <c r="AM9" i="9"/>
  <c r="AN12" i="11" s="1"/>
  <c r="AN11" i="3"/>
  <c r="AU4" i="4"/>
  <c r="AT1" i="4"/>
  <c r="AN10" i="9" s="1"/>
  <c r="AO26" i="6"/>
  <c r="AQ4" i="6"/>
  <c r="AP13" i="6"/>
  <c r="AP9" i="6"/>
  <c r="AP11" i="6"/>
  <c r="AP16" i="6"/>
  <c r="AP12" i="6"/>
  <c r="AP10" i="6"/>
  <c r="AP8" i="6"/>
  <c r="AP14" i="6"/>
  <c r="AP15" i="6"/>
  <c r="AP4" i="7"/>
  <c r="AP20" i="3"/>
  <c r="AQ4" i="3"/>
  <c r="AN33" i="10"/>
  <c r="AO20" i="10"/>
  <c r="AP4" i="10"/>
  <c r="AN42" i="9"/>
  <c r="AO4" i="9"/>
  <c r="V63" i="7" l="1"/>
  <c r="W29" i="7"/>
  <c r="V45" i="7"/>
  <c r="U13" i="3"/>
  <c r="U14" i="9" s="1"/>
  <c r="U14" i="3"/>
  <c r="U11" i="9" s="1"/>
  <c r="T75" i="7"/>
  <c r="T77" i="7" s="1"/>
  <c r="T78" i="7" s="1"/>
  <c r="T17" i="9" s="1"/>
  <c r="T8" i="10" s="1"/>
  <c r="T72" i="7"/>
  <c r="AJ41" i="9"/>
  <c r="AI43" i="9"/>
  <c r="T36" i="9"/>
  <c r="T7" i="10"/>
  <c r="U69" i="7"/>
  <c r="AB32" i="7"/>
  <c r="AA66" i="7"/>
  <c r="AA48" i="7"/>
  <c r="AA62" i="7"/>
  <c r="AB28" i="7"/>
  <c r="AA44" i="7"/>
  <c r="Z43" i="7"/>
  <c r="AA27" i="7"/>
  <c r="Z61" i="7"/>
  <c r="Z46" i="7"/>
  <c r="AA30" i="7"/>
  <c r="Z64" i="7"/>
  <c r="O9" i="3"/>
  <c r="O30" i="9"/>
  <c r="Q10" i="7"/>
  <c r="Q11" i="7" s="1"/>
  <c r="R79" i="7"/>
  <c r="AB67" i="7"/>
  <c r="AB49" i="7"/>
  <c r="AC33" i="7"/>
  <c r="X41" i="7"/>
  <c r="Y25" i="7"/>
  <c r="X59" i="7"/>
  <c r="AC68" i="7"/>
  <c r="AD34" i="7"/>
  <c r="AC50" i="7"/>
  <c r="N3" i="9"/>
  <c r="N24" i="9"/>
  <c r="N9" i="10" s="1"/>
  <c r="V57" i="7"/>
  <c r="V69" i="7" s="1"/>
  <c r="V35" i="7"/>
  <c r="V7" i="7" s="1"/>
  <c r="V39" i="7"/>
  <c r="V51" i="7" s="1"/>
  <c r="W23" i="7"/>
  <c r="W40" i="7"/>
  <c r="X24" i="7"/>
  <c r="W58" i="7"/>
  <c r="AA65" i="7"/>
  <c r="AB31" i="7"/>
  <c r="AA47" i="7"/>
  <c r="AA26" i="7"/>
  <c r="Z60" i="7"/>
  <c r="Z42" i="7"/>
  <c r="U51" i="7"/>
  <c r="Q14" i="7"/>
  <c r="P15" i="7"/>
  <c r="P13" i="7" s="1"/>
  <c r="P18" i="7" s="1"/>
  <c r="P7" i="3" s="1"/>
  <c r="AQ18" i="6"/>
  <c r="AQ69" i="6"/>
  <c r="AQ36" i="6" s="1"/>
  <c r="AP35" i="6"/>
  <c r="AQ70" i="6"/>
  <c r="AQ37" i="6" s="1"/>
  <c r="AQ68" i="6"/>
  <c r="AQ67" i="6"/>
  <c r="AQ34" i="6" s="1"/>
  <c r="AQ62" i="6"/>
  <c r="AQ61" i="6"/>
  <c r="AQ60" i="6"/>
  <c r="AQ64" i="6"/>
  <c r="AQ63" i="6"/>
  <c r="AQ66" i="6"/>
  <c r="AQ33" i="6" s="1"/>
  <c r="AQ59" i="6"/>
  <c r="AQ65" i="6"/>
  <c r="AP71" i="6"/>
  <c r="AQ19" i="6"/>
  <c r="AQ17" i="6"/>
  <c r="AO38" i="6"/>
  <c r="AP20" i="6"/>
  <c r="AP22" i="6" s="1"/>
  <c r="AP46" i="9" s="1"/>
  <c r="AP31" i="6"/>
  <c r="AP32" i="6"/>
  <c r="AP29" i="6"/>
  <c r="AP27" i="6"/>
  <c r="AN22" i="9"/>
  <c r="AP30" i="6"/>
  <c r="AP28" i="6"/>
  <c r="AN9" i="9"/>
  <c r="AO12" i="11" s="1"/>
  <c r="AO11" i="3"/>
  <c r="AV4" i="4"/>
  <c r="AU1" i="4"/>
  <c r="AO10" i="9" s="1"/>
  <c r="AP26" i="6"/>
  <c r="AQ15" i="6"/>
  <c r="AQ13" i="6"/>
  <c r="AQ10" i="6"/>
  <c r="AQ11" i="6"/>
  <c r="AQ8" i="6"/>
  <c r="AQ9" i="6"/>
  <c r="AQ14" i="6"/>
  <c r="AQ12" i="6"/>
  <c r="AQ16" i="6"/>
  <c r="AQ4" i="7"/>
  <c r="AQ20" i="3"/>
  <c r="AR4" i="3"/>
  <c r="AP20" i="10"/>
  <c r="AQ4" i="10"/>
  <c r="AO33" i="10"/>
  <c r="AO42" i="9"/>
  <c r="AP4" i="9"/>
  <c r="AD68" i="7" l="1"/>
  <c r="AD50" i="7"/>
  <c r="AE34" i="7"/>
  <c r="AC28" i="7"/>
  <c r="AB44" i="7"/>
  <c r="AB62" i="7"/>
  <c r="AB66" i="7"/>
  <c r="AC32" i="7"/>
  <c r="AB48" i="7"/>
  <c r="U76" i="7"/>
  <c r="U15" i="3"/>
  <c r="U12" i="9" s="1"/>
  <c r="U53" i="7"/>
  <c r="U8" i="7" s="1"/>
  <c r="U9" i="7" s="1"/>
  <c r="X40" i="7"/>
  <c r="X58" i="7"/>
  <c r="Y24" i="7"/>
  <c r="V14" i="3"/>
  <c r="V11" i="9" s="1"/>
  <c r="V13" i="3"/>
  <c r="V14" i="9" s="1"/>
  <c r="S79" i="7"/>
  <c r="R10" i="7"/>
  <c r="R11" i="7" s="1"/>
  <c r="AA43" i="7"/>
  <c r="AA61" i="7"/>
  <c r="AB27" i="7"/>
  <c r="U75" i="7"/>
  <c r="U72" i="7"/>
  <c r="W63" i="7"/>
  <c r="W45" i="7"/>
  <c r="X29" i="7"/>
  <c r="AA42" i="7"/>
  <c r="AB26" i="7"/>
  <c r="AA60" i="7"/>
  <c r="V76" i="7"/>
  <c r="V15" i="3"/>
  <c r="V12" i="9" s="1"/>
  <c r="V53" i="7"/>
  <c r="V8" i="7" s="1"/>
  <c r="V9" i="7" s="1"/>
  <c r="AC31" i="7"/>
  <c r="AB47" i="7"/>
  <c r="AB65" i="7"/>
  <c r="V75" i="7"/>
  <c r="V72" i="7"/>
  <c r="AC49" i="7"/>
  <c r="AC67" i="7"/>
  <c r="AD33" i="7"/>
  <c r="Q15" i="7"/>
  <c r="Q13" i="7" s="1"/>
  <c r="Q18" i="7" s="1"/>
  <c r="Q7" i="3" s="1"/>
  <c r="R14" i="7"/>
  <c r="AB30" i="7"/>
  <c r="AA64" i="7"/>
  <c r="AA46" i="7"/>
  <c r="AK41" i="9"/>
  <c r="AJ43" i="9"/>
  <c r="P9" i="3"/>
  <c r="P30" i="9"/>
  <c r="X23" i="7"/>
  <c r="W39" i="7"/>
  <c r="W51" i="7" s="1"/>
  <c r="W35" i="7"/>
  <c r="W7" i="7" s="1"/>
  <c r="W57" i="7"/>
  <c r="Y59" i="7"/>
  <c r="Z25" i="7"/>
  <c r="Y41" i="7"/>
  <c r="O3" i="9"/>
  <c r="O24" i="9"/>
  <c r="O9" i="10" s="1"/>
  <c r="AQ35" i="6"/>
  <c r="AQ71" i="6"/>
  <c r="AP38" i="6"/>
  <c r="AQ20" i="6"/>
  <c r="AQ22" i="6" s="1"/>
  <c r="AQ46" i="9" s="1"/>
  <c r="AQ32" i="6"/>
  <c r="AQ31" i="6"/>
  <c r="AQ30" i="6"/>
  <c r="AQ29" i="6"/>
  <c r="AQ28" i="6"/>
  <c r="AQ27" i="6"/>
  <c r="AO22" i="9"/>
  <c r="AO9" i="9"/>
  <c r="AP12" i="11" s="1"/>
  <c r="AP11" i="3"/>
  <c r="AV1" i="4"/>
  <c r="AP10" i="9" s="1"/>
  <c r="AW4" i="4"/>
  <c r="AQ26" i="6"/>
  <c r="AR4" i="7"/>
  <c r="AS4" i="3"/>
  <c r="AR20" i="3"/>
  <c r="AP33" i="10"/>
  <c r="AQ20" i="10"/>
  <c r="AR4" i="10"/>
  <c r="AP42" i="9"/>
  <c r="AQ4" i="9"/>
  <c r="Q9" i="3" l="1"/>
  <c r="Q30" i="9"/>
  <c r="AL41" i="9"/>
  <c r="AK43" i="9"/>
  <c r="AB61" i="7"/>
  <c r="AB43" i="7"/>
  <c r="AC27" i="7"/>
  <c r="AF34" i="7"/>
  <c r="AE50" i="7"/>
  <c r="AE68" i="7"/>
  <c r="Z41" i="7"/>
  <c r="Z59" i="7"/>
  <c r="AA25" i="7"/>
  <c r="W15" i="3"/>
  <c r="W12" i="9" s="1"/>
  <c r="W76" i="7"/>
  <c r="W53" i="7"/>
  <c r="W8" i="7" s="1"/>
  <c r="W9" i="7" s="1"/>
  <c r="W13" i="3"/>
  <c r="W14" i="9" s="1"/>
  <c r="W14" i="3"/>
  <c r="W11" i="9" s="1"/>
  <c r="V36" i="9"/>
  <c r="V7" i="10"/>
  <c r="T79" i="7"/>
  <c r="S10" i="7"/>
  <c r="S11" i="7" s="1"/>
  <c r="X39" i="7"/>
  <c r="X51" i="7" s="1"/>
  <c r="Y23" i="7"/>
  <c r="X57" i="7"/>
  <c r="X35" i="7"/>
  <c r="X7" i="7" s="1"/>
  <c r="AC65" i="7"/>
  <c r="AD31" i="7"/>
  <c r="AC47" i="7"/>
  <c r="X63" i="7"/>
  <c r="Y29" i="7"/>
  <c r="X45" i="7"/>
  <c r="AC30" i="7"/>
  <c r="AB46" i="7"/>
  <c r="AB64" i="7"/>
  <c r="W69" i="7"/>
  <c r="P3" i="9"/>
  <c r="P24" i="9"/>
  <c r="P9" i="10" s="1"/>
  <c r="AD49" i="7"/>
  <c r="AD67" i="7"/>
  <c r="AE33" i="7"/>
  <c r="V77" i="7"/>
  <c r="V78" i="7" s="1"/>
  <c r="V17" i="9" s="1"/>
  <c r="V8" i="10" s="1"/>
  <c r="AB42" i="7"/>
  <c r="AB60" i="7"/>
  <c r="AC26" i="7"/>
  <c r="U77" i="7"/>
  <c r="U78" i="7" s="1"/>
  <c r="U17" i="9" s="1"/>
  <c r="U8" i="10" s="1"/>
  <c r="R15" i="7"/>
  <c r="R13" i="7" s="1"/>
  <c r="R18" i="7" s="1"/>
  <c r="R7" i="3" s="1"/>
  <c r="S14" i="7"/>
  <c r="Y58" i="7"/>
  <c r="Y40" i="7"/>
  <c r="Z24" i="7"/>
  <c r="U7" i="10"/>
  <c r="U36" i="9"/>
  <c r="AC66" i="7"/>
  <c r="AD32" i="7"/>
  <c r="AC48" i="7"/>
  <c r="AC62" i="7"/>
  <c r="AC44" i="7"/>
  <c r="AD28" i="7"/>
  <c r="AQ38" i="6"/>
  <c r="AP22" i="9"/>
  <c r="AP9" i="9"/>
  <c r="AQ12" i="11" s="1"/>
  <c r="AQ11" i="3"/>
  <c r="AW1" i="4"/>
  <c r="AQ10" i="9" s="1"/>
  <c r="AX4" i="4"/>
  <c r="AS4" i="7"/>
  <c r="AS20" i="3"/>
  <c r="AT4" i="3"/>
  <c r="AR20" i="10"/>
  <c r="AS4" i="10"/>
  <c r="AQ33" i="10"/>
  <c r="AQ42" i="9"/>
  <c r="AR4" i="9"/>
  <c r="AC42" i="7" l="1"/>
  <c r="AD26" i="7"/>
  <c r="AC60" i="7"/>
  <c r="AC46" i="7"/>
  <c r="AD30" i="7"/>
  <c r="AC64" i="7"/>
  <c r="Y63" i="7"/>
  <c r="Z29" i="7"/>
  <c r="Y45" i="7"/>
  <c r="X15" i="3"/>
  <c r="X12" i="9" s="1"/>
  <c r="X76" i="7"/>
  <c r="X53" i="7"/>
  <c r="X8" i="7" s="1"/>
  <c r="X9" i="7" s="1"/>
  <c r="AF50" i="7"/>
  <c r="AF68" i="7"/>
  <c r="AG34" i="7"/>
  <c r="AD44" i="7"/>
  <c r="AE28" i="7"/>
  <c r="AD62" i="7"/>
  <c r="AD66" i="7"/>
  <c r="AE32" i="7"/>
  <c r="AD48" i="7"/>
  <c r="S13" i="7"/>
  <c r="S18" i="7" s="1"/>
  <c r="S7" i="3" s="1"/>
  <c r="W75" i="7"/>
  <c r="W77" i="7" s="1"/>
  <c r="W78" i="7" s="1"/>
  <c r="W17" i="9" s="1"/>
  <c r="W8" i="10" s="1"/>
  <c r="W72" i="7"/>
  <c r="X13" i="3"/>
  <c r="X14" i="9" s="1"/>
  <c r="X14" i="3"/>
  <c r="X11" i="9" s="1"/>
  <c r="T14" i="7"/>
  <c r="S15" i="7"/>
  <c r="AD27" i="7"/>
  <c r="AC43" i="7"/>
  <c r="AC61" i="7"/>
  <c r="AM41" i="9"/>
  <c r="AL43" i="9"/>
  <c r="AE67" i="7"/>
  <c r="AE49" i="7"/>
  <c r="AF33" i="7"/>
  <c r="Z58" i="7"/>
  <c r="AA24" i="7"/>
  <c r="Z40" i="7"/>
  <c r="R30" i="9"/>
  <c r="R9" i="3"/>
  <c r="X69" i="7"/>
  <c r="T10" i="7"/>
  <c r="T11" i="7" s="1"/>
  <c r="U79" i="7"/>
  <c r="W36" i="9"/>
  <c r="W7" i="10"/>
  <c r="Q24" i="9"/>
  <c r="Q9" i="10" s="1"/>
  <c r="Q3" i="9"/>
  <c r="AD47" i="7"/>
  <c r="AD65" i="7"/>
  <c r="AE31" i="7"/>
  <c r="Y57" i="7"/>
  <c r="Y69" i="7" s="1"/>
  <c r="Z23" i="7"/>
  <c r="Y35" i="7"/>
  <c r="Y7" i="7" s="1"/>
  <c r="Y39" i="7"/>
  <c r="Y51" i="7" s="1"/>
  <c r="AA41" i="7"/>
  <c r="AA59" i="7"/>
  <c r="AB25" i="7"/>
  <c r="AQ9" i="9"/>
  <c r="AR12" i="11" s="1"/>
  <c r="AR11" i="3"/>
  <c r="AX1" i="4"/>
  <c r="AR10" i="9" s="1"/>
  <c r="AY4" i="4"/>
  <c r="AT4" i="7"/>
  <c r="AT20" i="3"/>
  <c r="AU4" i="3"/>
  <c r="AR33" i="10"/>
  <c r="AS20" i="10"/>
  <c r="AT4" i="10"/>
  <c r="AR42" i="9"/>
  <c r="AS4" i="9"/>
  <c r="Y75" i="7" l="1"/>
  <c r="Y72" i="7"/>
  <c r="V79" i="7"/>
  <c r="U10" i="7"/>
  <c r="U11" i="7" s="1"/>
  <c r="AF49" i="7"/>
  <c r="AF67" i="7"/>
  <c r="AG33" i="7"/>
  <c r="AB59" i="7"/>
  <c r="AC25" i="7"/>
  <c r="AB41" i="7"/>
  <c r="Y15" i="3"/>
  <c r="Y12" i="9" s="1"/>
  <c r="Y76" i="7"/>
  <c r="Y77" i="7" s="1"/>
  <c r="Y78" i="7" s="1"/>
  <c r="Y17" i="9" s="1"/>
  <c r="Y8" i="10" s="1"/>
  <c r="Y53" i="7"/>
  <c r="Y8" i="7" s="1"/>
  <c r="Y9" i="7" s="1"/>
  <c r="AF31" i="7"/>
  <c r="AE65" i="7"/>
  <c r="AE47" i="7"/>
  <c r="T15" i="7"/>
  <c r="U14" i="7"/>
  <c r="AE62" i="7"/>
  <c r="AF28" i="7"/>
  <c r="AE44" i="7"/>
  <c r="R3" i="9"/>
  <c r="R24" i="9"/>
  <c r="R9" i="10" s="1"/>
  <c r="AN41" i="9"/>
  <c r="AM43" i="9"/>
  <c r="S30" i="9"/>
  <c r="S9" i="3"/>
  <c r="Z63" i="7"/>
  <c r="Z45" i="7"/>
  <c r="AA29" i="7"/>
  <c r="Y13" i="3"/>
  <c r="Y14" i="9" s="1"/>
  <c r="Y14" i="3"/>
  <c r="Y11" i="9" s="1"/>
  <c r="X75" i="7"/>
  <c r="X77" i="7" s="1"/>
  <c r="X78" i="7" s="1"/>
  <c r="X17" i="9" s="1"/>
  <c r="X8" i="10" s="1"/>
  <c r="X72" i="7"/>
  <c r="AA40" i="7"/>
  <c r="AB24" i="7"/>
  <c r="AA58" i="7"/>
  <c r="T13" i="7"/>
  <c r="T18" i="7" s="1"/>
  <c r="T7" i="3" s="1"/>
  <c r="AE66" i="7"/>
  <c r="AE48" i="7"/>
  <c r="AF32" i="7"/>
  <c r="X7" i="10"/>
  <c r="X36" i="9"/>
  <c r="AD42" i="7"/>
  <c r="AD60" i="7"/>
  <c r="AE26" i="7"/>
  <c r="Z39" i="7"/>
  <c r="Z51" i="7" s="1"/>
  <c r="AA23" i="7"/>
  <c r="Z57" i="7"/>
  <c r="Z69" i="7" s="1"/>
  <c r="Z35" i="7"/>
  <c r="Z7" i="7" s="1"/>
  <c r="AD61" i="7"/>
  <c r="AE27" i="7"/>
  <c r="AD43" i="7"/>
  <c r="AG50" i="7"/>
  <c r="AH34" i="7"/>
  <c r="AG68" i="7"/>
  <c r="AE30" i="7"/>
  <c r="AD46" i="7"/>
  <c r="AD64" i="7"/>
  <c r="AR9" i="9"/>
  <c r="AS12" i="11" s="1"/>
  <c r="AS11" i="3"/>
  <c r="AY1" i="4"/>
  <c r="AS10" i="9" s="1"/>
  <c r="AZ4" i="4"/>
  <c r="AU4" i="7"/>
  <c r="AU20" i="3"/>
  <c r="AV4" i="3"/>
  <c r="AT20" i="10"/>
  <c r="AU4" i="10"/>
  <c r="AS33" i="10"/>
  <c r="AS42" i="9"/>
  <c r="AT4" i="9"/>
  <c r="AH50" i="7" l="1"/>
  <c r="AI34" i="7"/>
  <c r="AH68" i="7"/>
  <c r="AA39" i="7"/>
  <c r="AA51" i="7" s="1"/>
  <c r="AB23" i="7"/>
  <c r="AA35" i="7"/>
  <c r="AA7" i="7" s="1"/>
  <c r="AA57" i="7"/>
  <c r="AA69" i="7" s="1"/>
  <c r="T30" i="9"/>
  <c r="T9" i="3"/>
  <c r="AG49" i="7"/>
  <c r="AG67" i="7"/>
  <c r="AH33" i="7"/>
  <c r="AE64" i="7"/>
  <c r="AE46" i="7"/>
  <c r="AF30" i="7"/>
  <c r="Z76" i="7"/>
  <c r="Z15" i="3"/>
  <c r="Z12" i="9" s="1"/>
  <c r="Z53" i="7"/>
  <c r="Z8" i="7" s="1"/>
  <c r="Z9" i="7" s="1"/>
  <c r="S3" i="9"/>
  <c r="S24" i="9"/>
  <c r="S9" i="10" s="1"/>
  <c r="Z13" i="3"/>
  <c r="Z14" i="9" s="1"/>
  <c r="Z14" i="3"/>
  <c r="Z11" i="9" s="1"/>
  <c r="AE42" i="7"/>
  <c r="AF26" i="7"/>
  <c r="AE60" i="7"/>
  <c r="AB40" i="7"/>
  <c r="AB58" i="7"/>
  <c r="AC24" i="7"/>
  <c r="AG31" i="7"/>
  <c r="AF65" i="7"/>
  <c r="AF47" i="7"/>
  <c r="AE61" i="7"/>
  <c r="AE43" i="7"/>
  <c r="AF27" i="7"/>
  <c r="AF48" i="7"/>
  <c r="AG32" i="7"/>
  <c r="AF66" i="7"/>
  <c r="V10" i="7"/>
  <c r="V11" i="7" s="1"/>
  <c r="W79" i="7"/>
  <c r="AA63" i="7"/>
  <c r="AA45" i="7"/>
  <c r="AB29" i="7"/>
  <c r="AC41" i="7"/>
  <c r="AC59" i="7"/>
  <c r="AD25" i="7"/>
  <c r="Z75" i="7"/>
  <c r="Z77" i="7" s="1"/>
  <c r="Z78" i="7" s="1"/>
  <c r="Z17" i="9" s="1"/>
  <c r="Z8" i="10" s="1"/>
  <c r="Z72" i="7"/>
  <c r="AO41" i="9"/>
  <c r="AN43" i="9"/>
  <c r="AG28" i="7"/>
  <c r="AF62" i="7"/>
  <c r="AF44" i="7"/>
  <c r="Y7" i="10"/>
  <c r="Y36" i="9"/>
  <c r="U15" i="7"/>
  <c r="U13" i="7" s="1"/>
  <c r="U18" i="7" s="1"/>
  <c r="U7" i="3" s="1"/>
  <c r="V14" i="7"/>
  <c r="AT11" i="3"/>
  <c r="BA4" i="4"/>
  <c r="AZ1" i="4"/>
  <c r="AT10" i="9" s="1"/>
  <c r="AS9" i="9"/>
  <c r="AT12" i="11" s="1"/>
  <c r="AV4" i="7"/>
  <c r="AW4" i="3"/>
  <c r="AV20" i="3"/>
  <c r="AU20" i="10"/>
  <c r="AV4" i="10"/>
  <c r="AT33" i="10"/>
  <c r="AT42" i="9"/>
  <c r="AU4" i="9"/>
  <c r="U30" i="9" l="1"/>
  <c r="U9" i="3"/>
  <c r="U16" i="3" s="1"/>
  <c r="U18" i="3" s="1"/>
  <c r="AB63" i="7"/>
  <c r="AC29" i="7"/>
  <c r="AB45" i="7"/>
  <c r="AF43" i="7"/>
  <c r="AF61" i="7"/>
  <c r="AG27" i="7"/>
  <c r="AH49" i="7"/>
  <c r="AH67" i="7"/>
  <c r="AI33" i="7"/>
  <c r="T3" i="9"/>
  <c r="T24" i="9"/>
  <c r="T9" i="10" s="1"/>
  <c r="AD41" i="7"/>
  <c r="AD59" i="7"/>
  <c r="AE25" i="7"/>
  <c r="AG47" i="7"/>
  <c r="AH31" i="7"/>
  <c r="AG65" i="7"/>
  <c r="AG30" i="7"/>
  <c r="AF46" i="7"/>
  <c r="AF64" i="7"/>
  <c r="AA72" i="7"/>
  <c r="AA75" i="7"/>
  <c r="AA77" i="7" s="1"/>
  <c r="AA78" i="7" s="1"/>
  <c r="AA17" i="9" s="1"/>
  <c r="AA8" i="10" s="1"/>
  <c r="AG48" i="7"/>
  <c r="AG66" i="7"/>
  <c r="AH32" i="7"/>
  <c r="AA14" i="3"/>
  <c r="AA11" i="9" s="1"/>
  <c r="AA13" i="3"/>
  <c r="AA14" i="9" s="1"/>
  <c r="AI68" i="7"/>
  <c r="AI50" i="7"/>
  <c r="AJ34" i="7"/>
  <c r="V15" i="7"/>
  <c r="V13" i="7" s="1"/>
  <c r="V18" i="7" s="1"/>
  <c r="V7" i="3" s="1"/>
  <c r="W14" i="7"/>
  <c r="AA76" i="7"/>
  <c r="AA15" i="3"/>
  <c r="AA12" i="9" s="1"/>
  <c r="AA53" i="7"/>
  <c r="AA8" i="7" s="1"/>
  <c r="AA9" i="7" s="1"/>
  <c r="AG62" i="7"/>
  <c r="AH28" i="7"/>
  <c r="AG44" i="7"/>
  <c r="AP41" i="9"/>
  <c r="AO43" i="9"/>
  <c r="W10" i="7"/>
  <c r="W11" i="7" s="1"/>
  <c r="X79" i="7"/>
  <c r="AC58" i="7"/>
  <c r="AD24" i="7"/>
  <c r="AC40" i="7"/>
  <c r="AF42" i="7"/>
  <c r="AF60" i="7"/>
  <c r="AG26" i="7"/>
  <c r="Z36" i="9"/>
  <c r="Z7" i="10"/>
  <c r="AB57" i="7"/>
  <c r="AC23" i="7"/>
  <c r="AB39" i="7"/>
  <c r="AB51" i="7" s="1"/>
  <c r="AB35" i="7"/>
  <c r="AB7" i="7" s="1"/>
  <c r="AU11" i="3"/>
  <c r="BB4" i="4"/>
  <c r="BA1" i="4"/>
  <c r="AU10" i="9" s="1"/>
  <c r="AT9" i="9"/>
  <c r="AU12" i="11" s="1"/>
  <c r="AW4" i="7"/>
  <c r="AW20" i="3"/>
  <c r="AX4" i="3"/>
  <c r="AU33" i="10"/>
  <c r="AV20" i="10"/>
  <c r="AW4" i="10"/>
  <c r="AV4" i="9"/>
  <c r="AU42" i="9"/>
  <c r="W15" i="7" l="1"/>
  <c r="X14" i="7"/>
  <c r="V30" i="9"/>
  <c r="V9" i="3"/>
  <c r="V16" i="3" s="1"/>
  <c r="V18" i="3" s="1"/>
  <c r="AH65" i="7"/>
  <c r="AH47" i="7"/>
  <c r="AI31" i="7"/>
  <c r="AI49" i="7"/>
  <c r="AI67" i="7"/>
  <c r="AJ33" i="7"/>
  <c r="AG60" i="7"/>
  <c r="AG42" i="7"/>
  <c r="AH26" i="7"/>
  <c r="AE24" i="7"/>
  <c r="AD58" i="7"/>
  <c r="AD40" i="7"/>
  <c r="AI28" i="7"/>
  <c r="AH44" i="7"/>
  <c r="AH62" i="7"/>
  <c r="U52" i="9"/>
  <c r="U21" i="3"/>
  <c r="AB13" i="3"/>
  <c r="AB14" i="9" s="1"/>
  <c r="AB14" i="3"/>
  <c r="AB11" i="9" s="1"/>
  <c r="AP43" i="9"/>
  <c r="AQ41" i="9"/>
  <c r="AH48" i="7"/>
  <c r="AI32" i="7"/>
  <c r="AH66" i="7"/>
  <c r="AE59" i="7"/>
  <c r="AF25" i="7"/>
  <c r="AE41" i="7"/>
  <c r="U24" i="9"/>
  <c r="U9" i="10" s="1"/>
  <c r="U3" i="9"/>
  <c r="AC57" i="7"/>
  <c r="AC69" i="7" s="1"/>
  <c r="AD23" i="7"/>
  <c r="AC39" i="7"/>
  <c r="AC35" i="7"/>
  <c r="AC7" i="7" s="1"/>
  <c r="AB69" i="7"/>
  <c r="AA36" i="9"/>
  <c r="AA7" i="10"/>
  <c r="AJ68" i="7"/>
  <c r="AJ50" i="7"/>
  <c r="AK34" i="7"/>
  <c r="AG46" i="7"/>
  <c r="AH30" i="7"/>
  <c r="AG64" i="7"/>
  <c r="AB15" i="3"/>
  <c r="AB12" i="9" s="1"/>
  <c r="AB76" i="7"/>
  <c r="AB53" i="7"/>
  <c r="AB8" i="7" s="1"/>
  <c r="AB9" i="7" s="1"/>
  <c r="Y79" i="7"/>
  <c r="X10" i="7"/>
  <c r="X11" i="7" s="1"/>
  <c r="W13" i="7"/>
  <c r="W18" i="7" s="1"/>
  <c r="W7" i="3" s="1"/>
  <c r="AG61" i="7"/>
  <c r="AG43" i="7"/>
  <c r="AH27" i="7"/>
  <c r="AC63" i="7"/>
  <c r="AD29" i="7"/>
  <c r="AC45" i="7"/>
  <c r="AV11" i="3"/>
  <c r="BB1" i="4"/>
  <c r="AV10" i="9" s="1"/>
  <c r="BC4" i="4"/>
  <c r="AU9" i="9"/>
  <c r="AV12" i="11" s="1"/>
  <c r="AX4" i="7"/>
  <c r="AX20" i="3"/>
  <c r="AY4" i="3"/>
  <c r="AW20" i="10"/>
  <c r="AX4" i="10"/>
  <c r="AV33" i="10"/>
  <c r="AV42" i="9"/>
  <c r="AW4" i="9"/>
  <c r="AB36" i="9" l="1"/>
  <c r="AB7" i="10"/>
  <c r="AI48" i="7"/>
  <c r="AI66" i="7"/>
  <c r="AJ32" i="7"/>
  <c r="V52" i="9"/>
  <c r="V21" i="3"/>
  <c r="AD63" i="7"/>
  <c r="AE29" i="7"/>
  <c r="AD45" i="7"/>
  <c r="AC75" i="7"/>
  <c r="AC72" i="7"/>
  <c r="AF59" i="7"/>
  <c r="AG25" i="7"/>
  <c r="AF41" i="7"/>
  <c r="AJ31" i="7"/>
  <c r="AI47" i="7"/>
  <c r="AI65" i="7"/>
  <c r="V3" i="9"/>
  <c r="V24" i="9"/>
  <c r="V9" i="10" s="1"/>
  <c r="W30" i="9"/>
  <c r="W9" i="3"/>
  <c r="W16" i="3" s="1"/>
  <c r="W18" i="3" s="1"/>
  <c r="AH64" i="7"/>
  <c r="AH46" i="7"/>
  <c r="AI30" i="7"/>
  <c r="AC13" i="3"/>
  <c r="AC14" i="9" s="1"/>
  <c r="AC14" i="3"/>
  <c r="AC11" i="9" s="1"/>
  <c r="AQ43" i="9"/>
  <c r="AR41" i="9"/>
  <c r="AE40" i="7"/>
  <c r="AE58" i="7"/>
  <c r="AF24" i="7"/>
  <c r="AJ49" i="7"/>
  <c r="AJ67" i="7"/>
  <c r="AK33" i="7"/>
  <c r="Y14" i="7"/>
  <c r="X15" i="7"/>
  <c r="X13" i="7" s="1"/>
  <c r="X18" i="7" s="1"/>
  <c r="X7" i="3" s="1"/>
  <c r="AL34" i="7"/>
  <c r="AK50" i="7"/>
  <c r="AK68" i="7"/>
  <c r="AD35" i="7"/>
  <c r="AD7" i="7" s="1"/>
  <c r="AD57" i="7"/>
  <c r="AD69" i="7" s="1"/>
  <c r="AE23" i="7"/>
  <c r="AD39" i="7"/>
  <c r="AD51" i="7" s="1"/>
  <c r="Z79" i="7"/>
  <c r="Y10" i="7"/>
  <c r="Y11" i="7" s="1"/>
  <c r="AB75" i="7"/>
  <c r="AB77" i="7" s="1"/>
  <c r="AB78" i="7" s="1"/>
  <c r="AB17" i="9" s="1"/>
  <c r="AB8" i="10" s="1"/>
  <c r="AB72" i="7"/>
  <c r="AH43" i="7"/>
  <c r="AH61" i="7"/>
  <c r="AI27" i="7"/>
  <c r="AC51" i="7"/>
  <c r="V53" i="9"/>
  <c r="W54" i="9" s="1"/>
  <c r="U56" i="9"/>
  <c r="U6" i="9" s="1"/>
  <c r="AI62" i="7"/>
  <c r="AI44" i="7"/>
  <c r="AJ28" i="7"/>
  <c r="AH42" i="7"/>
  <c r="AH60" i="7"/>
  <c r="AI26" i="7"/>
  <c r="AV9" i="9"/>
  <c r="AW12" i="11" s="1"/>
  <c r="AW11" i="3"/>
  <c r="BC1" i="4"/>
  <c r="AW10" i="9" s="1"/>
  <c r="BD4" i="4"/>
  <c r="AY4" i="7"/>
  <c r="AZ4" i="3"/>
  <c r="AY20" i="3"/>
  <c r="AW33" i="10"/>
  <c r="AX20" i="10"/>
  <c r="AY4" i="10"/>
  <c r="AW42" i="9"/>
  <c r="AX4" i="9"/>
  <c r="AI61" i="7" l="1"/>
  <c r="AI43" i="7"/>
  <c r="AJ27" i="7"/>
  <c r="Z14" i="7"/>
  <c r="Y15" i="7"/>
  <c r="AE39" i="7"/>
  <c r="AE57" i="7"/>
  <c r="AE69" i="7" s="1"/>
  <c r="AE35" i="7"/>
  <c r="AE7" i="7" s="1"/>
  <c r="AF23" i="7"/>
  <c r="AK49" i="7"/>
  <c r="AK67" i="7"/>
  <c r="AL33" i="7"/>
  <c r="AA79" i="7"/>
  <c r="Z10" i="7"/>
  <c r="Z11" i="7" s="1"/>
  <c r="AL68" i="7"/>
  <c r="AM34" i="7"/>
  <c r="AL50" i="7"/>
  <c r="W52" i="9"/>
  <c r="W21" i="3"/>
  <c r="AG59" i="7"/>
  <c r="AG41" i="7"/>
  <c r="AH25" i="7"/>
  <c r="W53" i="9"/>
  <c r="X54" i="9" s="1"/>
  <c r="V56" i="9"/>
  <c r="V6" i="9" s="1"/>
  <c r="V6" i="11"/>
  <c r="U31" i="10"/>
  <c r="U13" i="9"/>
  <c r="U16" i="9"/>
  <c r="U37" i="9" s="1"/>
  <c r="AD75" i="7"/>
  <c r="AD72" i="7"/>
  <c r="AJ62" i="7"/>
  <c r="AK28" i="7"/>
  <c r="AJ44" i="7"/>
  <c r="AD14" i="3"/>
  <c r="AD11" i="9" s="1"/>
  <c r="AD13" i="3"/>
  <c r="AD14" i="9" s="1"/>
  <c r="X30" i="9"/>
  <c r="X9" i="3"/>
  <c r="X16" i="3" s="1"/>
  <c r="X18" i="3" s="1"/>
  <c r="AR43" i="9"/>
  <c r="AS41" i="9"/>
  <c r="AI64" i="7"/>
  <c r="AJ30" i="7"/>
  <c r="AI46" i="7"/>
  <c r="W24" i="9"/>
  <c r="W9" i="10" s="1"/>
  <c r="W3" i="9"/>
  <c r="AE63" i="7"/>
  <c r="AF29" i="7"/>
  <c r="AE45" i="7"/>
  <c r="AJ66" i="7"/>
  <c r="AK32" i="7"/>
  <c r="AJ48" i="7"/>
  <c r="AI42" i="7"/>
  <c r="AI60" i="7"/>
  <c r="AJ26" i="7"/>
  <c r="AC53" i="7"/>
  <c r="AC8" i="7" s="1"/>
  <c r="AC9" i="7" s="1"/>
  <c r="AC76" i="7"/>
  <c r="AC77" i="7" s="1"/>
  <c r="AC78" i="7" s="1"/>
  <c r="AC17" i="9" s="1"/>
  <c r="AC8" i="10" s="1"/>
  <c r="AC15" i="3"/>
  <c r="AC12" i="9" s="1"/>
  <c r="AD53" i="7"/>
  <c r="AD8" i="7" s="1"/>
  <c r="AD9" i="7" s="1"/>
  <c r="AD76" i="7"/>
  <c r="AD77" i="7" s="1"/>
  <c r="AD78" i="7" s="1"/>
  <c r="AD17" i="9" s="1"/>
  <c r="AD8" i="10" s="1"/>
  <c r="AD15" i="3"/>
  <c r="AD12" i="9" s="1"/>
  <c r="Y13" i="7"/>
  <c r="Y18" i="7" s="1"/>
  <c r="Y7" i="3" s="1"/>
  <c r="AF40" i="7"/>
  <c r="AF58" i="7"/>
  <c r="AG24" i="7"/>
  <c r="AK31" i="7"/>
  <c r="AJ65" i="7"/>
  <c r="AJ47" i="7"/>
  <c r="AW9" i="9"/>
  <c r="AX12" i="11" s="1"/>
  <c r="AX11" i="3"/>
  <c r="BD1" i="4"/>
  <c r="AX10" i="9" s="1"/>
  <c r="BE4" i="4"/>
  <c r="AZ4" i="7"/>
  <c r="BA4" i="3"/>
  <c r="AZ20" i="3"/>
  <c r="AZ4" i="10"/>
  <c r="AY20" i="10"/>
  <c r="AX33" i="10"/>
  <c r="AX42" i="9"/>
  <c r="AY4" i="9"/>
  <c r="AT41" i="9" l="1"/>
  <c r="AS43" i="9"/>
  <c r="AK62" i="7"/>
  <c r="AL28" i="7"/>
  <c r="AK44" i="7"/>
  <c r="AA10" i="7"/>
  <c r="AA11" i="7" s="1"/>
  <c r="AB79" i="7"/>
  <c r="AJ43" i="7"/>
  <c r="AJ61" i="7"/>
  <c r="AK27" i="7"/>
  <c r="AF63" i="7"/>
  <c r="AG29" i="7"/>
  <c r="AF45" i="7"/>
  <c r="U18" i="9"/>
  <c r="U20" i="9" s="1"/>
  <c r="V31" i="10"/>
  <c r="V13" i="9"/>
  <c r="W6" i="11"/>
  <c r="AN34" i="7"/>
  <c r="AM68" i="7"/>
  <c r="AM50" i="7"/>
  <c r="AE51" i="7"/>
  <c r="AE72" i="7"/>
  <c r="AE75" i="7"/>
  <c r="AL31" i="7"/>
  <c r="AK65" i="7"/>
  <c r="AK47" i="7"/>
  <c r="Y9" i="3"/>
  <c r="Y16" i="3" s="1"/>
  <c r="Y18" i="3" s="1"/>
  <c r="Y30" i="9"/>
  <c r="AJ60" i="7"/>
  <c r="AK26" i="7"/>
  <c r="AJ42" i="7"/>
  <c r="AL32" i="7"/>
  <c r="AK66" i="7"/>
  <c r="AK48" i="7"/>
  <c r="AK30" i="7"/>
  <c r="AJ46" i="7"/>
  <c r="AJ64" i="7"/>
  <c r="X52" i="9"/>
  <c r="X21" i="3"/>
  <c r="AG23" i="7"/>
  <c r="AF39" i="7"/>
  <c r="AF51" i="7" s="1"/>
  <c r="AF57" i="7"/>
  <c r="AF69" i="7" s="1"/>
  <c r="AF35" i="7"/>
  <c r="AF7" i="7" s="1"/>
  <c r="AH24" i="7"/>
  <c r="AG40" i="7"/>
  <c r="AG58" i="7"/>
  <c r="AD7" i="10"/>
  <c r="AD36" i="9"/>
  <c r="AC36" i="9"/>
  <c r="AC7" i="10"/>
  <c r="X24" i="9"/>
  <c r="X9" i="10" s="1"/>
  <c r="X3" i="9"/>
  <c r="V8" i="11"/>
  <c r="V37" i="11"/>
  <c r="AH41" i="7"/>
  <c r="AH59" i="7"/>
  <c r="AI25" i="7"/>
  <c r="X53" i="9"/>
  <c r="Y54" i="9" s="1"/>
  <c r="W56" i="9"/>
  <c r="W6" i="9" s="1"/>
  <c r="AA14" i="7"/>
  <c r="Z15" i="7"/>
  <c r="Z13" i="7" s="1"/>
  <c r="Z18" i="7" s="1"/>
  <c r="Z7" i="3" s="1"/>
  <c r="AL49" i="7"/>
  <c r="AL67" i="7"/>
  <c r="AM33" i="7"/>
  <c r="AE14" i="3"/>
  <c r="AE11" i="9" s="1"/>
  <c r="AE13" i="3"/>
  <c r="AE14" i="9" s="1"/>
  <c r="AX9" i="9"/>
  <c r="AY12" i="11" s="1"/>
  <c r="AY11" i="3"/>
  <c r="BE1" i="4"/>
  <c r="AY10" i="9" s="1"/>
  <c r="BF4" i="4"/>
  <c r="BA4" i="7"/>
  <c r="BA20" i="3"/>
  <c r="BB4" i="3"/>
  <c r="AZ20" i="10"/>
  <c r="BA4" i="10"/>
  <c r="AY33" i="10"/>
  <c r="AY42" i="9"/>
  <c r="AZ4" i="9"/>
  <c r="AF13" i="3" l="1"/>
  <c r="AF14" i="9" s="1"/>
  <c r="AF14" i="3"/>
  <c r="AF11" i="9" s="1"/>
  <c r="AL48" i="7"/>
  <c r="AL66" i="7"/>
  <c r="AM32" i="7"/>
  <c r="Y3" i="9"/>
  <c r="Y24" i="9"/>
  <c r="Y9" i="10" s="1"/>
  <c r="AL47" i="7"/>
  <c r="AL65" i="7"/>
  <c r="AM31" i="7"/>
  <c r="AE15" i="3"/>
  <c r="AE12" i="9" s="1"/>
  <c r="AE76" i="7"/>
  <c r="AE77" i="7" s="1"/>
  <c r="AE78" i="7" s="1"/>
  <c r="AE17" i="9" s="1"/>
  <c r="AE8" i="10" s="1"/>
  <c r="AE53" i="7"/>
  <c r="AE8" i="7" s="1"/>
  <c r="AE9" i="7" s="1"/>
  <c r="W8" i="11"/>
  <c r="W37" i="11"/>
  <c r="AK61" i="7"/>
  <c r="AK43" i="7"/>
  <c r="AL27" i="7"/>
  <c r="Z9" i="3"/>
  <c r="Z16" i="3" s="1"/>
  <c r="Z18" i="3" s="1"/>
  <c r="Z30" i="9"/>
  <c r="AI59" i="7"/>
  <c r="AI41" i="7"/>
  <c r="AJ25" i="7"/>
  <c r="AF72" i="7"/>
  <c r="AF75" i="7"/>
  <c r="AK64" i="7"/>
  <c r="AL30" i="7"/>
  <c r="AK46" i="7"/>
  <c r="Y52" i="9"/>
  <c r="Y21" i="3"/>
  <c r="V16" i="9"/>
  <c r="V37" i="9" s="1"/>
  <c r="V18" i="9"/>
  <c r="V20" i="9" s="1"/>
  <c r="AU41" i="9"/>
  <c r="AT43" i="9"/>
  <c r="V38" i="11"/>
  <c r="V39" i="11" s="1"/>
  <c r="V40" i="11"/>
  <c r="V42" i="11" s="1"/>
  <c r="AA15" i="7"/>
  <c r="AA13" i="7" s="1"/>
  <c r="AA18" i="7" s="1"/>
  <c r="AA7" i="3" s="1"/>
  <c r="AB14" i="7"/>
  <c r="AM49" i="7"/>
  <c r="AM67" i="7"/>
  <c r="AN33" i="7"/>
  <c r="AH40" i="7"/>
  <c r="AH58" i="7"/>
  <c r="AI24" i="7"/>
  <c r="AF53" i="7"/>
  <c r="AF8" i="7" s="1"/>
  <c r="AF9" i="7" s="1"/>
  <c r="AF76" i="7"/>
  <c r="AF15" i="3"/>
  <c r="AF12" i="9" s="1"/>
  <c r="X56" i="9"/>
  <c r="X6" i="9" s="1"/>
  <c r="Y53" i="9"/>
  <c r="Z54" i="9" s="1"/>
  <c r="AK42" i="7"/>
  <c r="AK60" i="7"/>
  <c r="AL26" i="7"/>
  <c r="AG63" i="7"/>
  <c r="AG45" i="7"/>
  <c r="AH29" i="7"/>
  <c r="AM28" i="7"/>
  <c r="AL44" i="7"/>
  <c r="AL62" i="7"/>
  <c r="W31" i="10"/>
  <c r="X6" i="11"/>
  <c r="W13" i="9"/>
  <c r="W16" i="9"/>
  <c r="W37" i="9" s="1"/>
  <c r="AG39" i="7"/>
  <c r="AH23" i="7"/>
  <c r="AG57" i="7"/>
  <c r="AG69" i="7" s="1"/>
  <c r="AG35" i="7"/>
  <c r="AG7" i="7" s="1"/>
  <c r="AN50" i="7"/>
  <c r="AO34" i="7"/>
  <c r="AN68" i="7"/>
  <c r="U6" i="10"/>
  <c r="U10" i="10" s="1"/>
  <c r="U14" i="10" s="1"/>
  <c r="U32" i="9"/>
  <c r="U35" i="9"/>
  <c r="U38" i="9" s="1"/>
  <c r="V25" i="11" s="1"/>
  <c r="U28" i="9"/>
  <c r="U45" i="9" s="1"/>
  <c r="U49" i="9" s="1"/>
  <c r="U47" i="9" s="1"/>
  <c r="AC79" i="7"/>
  <c r="AB10" i="7"/>
  <c r="AB11" i="7" s="1"/>
  <c r="AY9" i="9"/>
  <c r="AZ12" i="11" s="1"/>
  <c r="AZ11" i="3"/>
  <c r="BF1" i="4"/>
  <c r="AZ10" i="9" s="1"/>
  <c r="BG4" i="4"/>
  <c r="BB4" i="7"/>
  <c r="BB20" i="3"/>
  <c r="BC4" i="3"/>
  <c r="BC20" i="3" s="1"/>
  <c r="AZ33" i="10"/>
  <c r="BA20" i="10"/>
  <c r="BB4" i="10"/>
  <c r="AZ42" i="9"/>
  <c r="BA4" i="9"/>
  <c r="AA30" i="9" l="1"/>
  <c r="AA9" i="3"/>
  <c r="AA16" i="3" s="1"/>
  <c r="AA18" i="3" s="1"/>
  <c r="AF36" i="9"/>
  <c r="AF7" i="10"/>
  <c r="V28" i="9"/>
  <c r="V45" i="9" s="1"/>
  <c r="V49" i="9" s="1"/>
  <c r="V47" i="9" s="1"/>
  <c r="V35" i="9"/>
  <c r="V38" i="9" s="1"/>
  <c r="W25" i="11" s="1"/>
  <c r="V32" i="9"/>
  <c r="V6" i="10"/>
  <c r="V10" i="10" s="1"/>
  <c r="V14" i="10" s="1"/>
  <c r="AP34" i="7"/>
  <c r="AO68" i="7"/>
  <c r="AO50" i="7"/>
  <c r="AG75" i="7"/>
  <c r="AG72" i="7"/>
  <c r="W18" i="9"/>
  <c r="W20" i="9" s="1"/>
  <c r="Y56" i="9"/>
  <c r="Y6" i="9" s="1"/>
  <c r="Z53" i="9"/>
  <c r="AA54" i="9" s="1"/>
  <c r="AF77" i="7"/>
  <c r="AF78" i="7" s="1"/>
  <c r="AF17" i="9" s="1"/>
  <c r="AF8" i="10" s="1"/>
  <c r="AL43" i="7"/>
  <c r="AL61" i="7"/>
  <c r="AM27" i="7"/>
  <c r="AE36" i="9"/>
  <c r="AE7" i="10"/>
  <c r="AG13" i="3"/>
  <c r="AG14" i="9" s="1"/>
  <c r="AG14" i="3"/>
  <c r="AG11" i="9" s="1"/>
  <c r="X44" i="11"/>
  <c r="W43" i="11"/>
  <c r="W38" i="11"/>
  <c r="W39" i="11" s="1"/>
  <c r="W40" i="11"/>
  <c r="W42" i="11" s="1"/>
  <c r="AC14" i="7"/>
  <c r="AB15" i="7"/>
  <c r="AH35" i="7"/>
  <c r="AH7" i="7" s="1"/>
  <c r="AH39" i="7"/>
  <c r="AI23" i="7"/>
  <c r="AH57" i="7"/>
  <c r="X8" i="11"/>
  <c r="X37" i="11"/>
  <c r="X38" i="11" s="1"/>
  <c r="X39" i="11" s="1"/>
  <c r="X40" i="11" s="1"/>
  <c r="X42" i="11" s="1"/>
  <c r="AM44" i="7"/>
  <c r="AM62" i="7"/>
  <c r="AN28" i="7"/>
  <c r="AB13" i="7"/>
  <c r="AB18" i="7" s="1"/>
  <c r="AB7" i="3" s="1"/>
  <c r="Z24" i="9"/>
  <c r="Z9" i="10" s="1"/>
  <c r="Z3" i="9"/>
  <c r="AN31" i="7"/>
  <c r="AM47" i="7"/>
  <c r="AM65" i="7"/>
  <c r="AD79" i="7"/>
  <c r="AC10" i="7"/>
  <c r="AC11" i="7" s="1"/>
  <c r="U19" i="10"/>
  <c r="U21" i="10"/>
  <c r="U30" i="10"/>
  <c r="U32" i="10" s="1"/>
  <c r="V17" i="11"/>
  <c r="AG51" i="7"/>
  <c r="AH63" i="7"/>
  <c r="AI29" i="7"/>
  <c r="AH45" i="7"/>
  <c r="AM26" i="7"/>
  <c r="AL42" i="7"/>
  <c r="AL60" i="7"/>
  <c r="Y6" i="11"/>
  <c r="X31" i="10"/>
  <c r="X13" i="9"/>
  <c r="X16" i="9" s="1"/>
  <c r="X37" i="9" s="1"/>
  <c r="AI58" i="7"/>
  <c r="AJ24" i="7"/>
  <c r="AI40" i="7"/>
  <c r="AN49" i="7"/>
  <c r="AN67" i="7"/>
  <c r="AO33" i="7"/>
  <c r="AV41" i="9"/>
  <c r="AU43" i="9"/>
  <c r="AM30" i="7"/>
  <c r="AL64" i="7"/>
  <c r="AL46" i="7"/>
  <c r="AJ41" i="7"/>
  <c r="AJ59" i="7"/>
  <c r="AK25" i="7"/>
  <c r="Z52" i="9"/>
  <c r="Z21" i="3"/>
  <c r="AM48" i="7"/>
  <c r="AM66" i="7"/>
  <c r="AN32" i="7"/>
  <c r="AZ9" i="9"/>
  <c r="BA12" i="11" s="1"/>
  <c r="BA11" i="3"/>
  <c r="BG1" i="4"/>
  <c r="BA10" i="9" s="1"/>
  <c r="BH4" i="4"/>
  <c r="BC4" i="7"/>
  <c r="BB20" i="10"/>
  <c r="BC4" i="10"/>
  <c r="BC20" i="10" s="1"/>
  <c r="BA33" i="10"/>
  <c r="BA42" i="9"/>
  <c r="BB4" i="9"/>
  <c r="AN66" i="7" l="1"/>
  <c r="AN48" i="7"/>
  <c r="AO32" i="7"/>
  <c r="Y43" i="11"/>
  <c r="Z44" i="11"/>
  <c r="AA53" i="9"/>
  <c r="AB54" i="9" s="1"/>
  <c r="Z56" i="9"/>
  <c r="Z6" i="9" s="1"/>
  <c r="AI63" i="7"/>
  <c r="AJ29" i="7"/>
  <c r="AI45" i="7"/>
  <c r="U34" i="10"/>
  <c r="V19" i="11" s="1"/>
  <c r="V27" i="11"/>
  <c r="AD10" i="7"/>
  <c r="AD11" i="7" s="1"/>
  <c r="AE79" i="7"/>
  <c r="AN47" i="7"/>
  <c r="AO31" i="7"/>
  <c r="AN65" i="7"/>
  <c r="AN44" i="7"/>
  <c r="AO28" i="7"/>
  <c r="AN62" i="7"/>
  <c r="AH14" i="3"/>
  <c r="AH11" i="9" s="1"/>
  <c r="AH13" i="3"/>
  <c r="AH14" i="9" s="1"/>
  <c r="Y13" i="9"/>
  <c r="Y31" i="10"/>
  <c r="Z6" i="11"/>
  <c r="Y37" i="11"/>
  <c r="Y38" i="11" s="1"/>
  <c r="Y39" i="11" s="1"/>
  <c r="Y40" i="11" s="1"/>
  <c r="Y42" i="11" s="1"/>
  <c r="Y8" i="11"/>
  <c r="AC15" i="7"/>
  <c r="AC13" i="7" s="1"/>
  <c r="AC18" i="7" s="1"/>
  <c r="AC7" i="3" s="1"/>
  <c r="AD14" i="7"/>
  <c r="AB9" i="3"/>
  <c r="AB16" i="3" s="1"/>
  <c r="AB18" i="3" s="1"/>
  <c r="AB30" i="9"/>
  <c r="AH51" i="7"/>
  <c r="X43" i="11"/>
  <c r="Y44" i="11"/>
  <c r="AM43" i="7"/>
  <c r="AM61" i="7"/>
  <c r="AN27" i="7"/>
  <c r="W17" i="11"/>
  <c r="V30" i="10"/>
  <c r="V32" i="10" s="1"/>
  <c r="V19" i="10"/>
  <c r="V21" i="10"/>
  <c r="AK59" i="7"/>
  <c r="AK41" i="7"/>
  <c r="AL25" i="7"/>
  <c r="AW41" i="9"/>
  <c r="AV43" i="9"/>
  <c r="X18" i="9"/>
  <c r="X20" i="9" s="1"/>
  <c r="AH69" i="7"/>
  <c r="W28" i="9"/>
  <c r="W45" i="9" s="1"/>
  <c r="W49" i="9" s="1"/>
  <c r="W47" i="9" s="1"/>
  <c r="W32" i="9"/>
  <c r="W35" i="9"/>
  <c r="W38" i="9" s="1"/>
  <c r="X25" i="11" s="1"/>
  <c r="W6" i="10"/>
  <c r="W10" i="10" s="1"/>
  <c r="W14" i="10" s="1"/>
  <c r="AA21" i="3"/>
  <c r="AA52" i="9"/>
  <c r="AN30" i="7"/>
  <c r="AM64" i="7"/>
  <c r="AM46" i="7"/>
  <c r="AO49" i="7"/>
  <c r="AO67" i="7"/>
  <c r="AP33" i="7"/>
  <c r="AJ40" i="7"/>
  <c r="AJ58" i="7"/>
  <c r="AK24" i="7"/>
  <c r="AN26" i="7"/>
  <c r="AM42" i="7"/>
  <c r="AM60" i="7"/>
  <c r="AG15" i="3"/>
  <c r="AG12" i="9" s="1"/>
  <c r="AG76" i="7"/>
  <c r="AG77" i="7" s="1"/>
  <c r="AG78" i="7" s="1"/>
  <c r="AG17" i="9" s="1"/>
  <c r="AG8" i="10" s="1"/>
  <c r="AG53" i="7"/>
  <c r="AG8" i="7" s="1"/>
  <c r="AG9" i="7" s="1"/>
  <c r="AI39" i="7"/>
  <c r="AI51" i="7" s="1"/>
  <c r="AJ23" i="7"/>
  <c r="AI57" i="7"/>
  <c r="AI69" i="7" s="1"/>
  <c r="AI35" i="7"/>
  <c r="AI7" i="7" s="1"/>
  <c r="AP50" i="7"/>
  <c r="AP68" i="7"/>
  <c r="AQ34" i="7"/>
  <c r="AA3" i="9"/>
  <c r="AA24" i="9"/>
  <c r="AA9" i="10" s="1"/>
  <c r="BA9" i="9"/>
  <c r="BB12" i="11" s="1"/>
  <c r="BB11" i="3"/>
  <c r="BI4" i="4"/>
  <c r="BH1" i="4"/>
  <c r="BB10" i="9" s="1"/>
  <c r="BD4" i="7"/>
  <c r="BB33" i="10"/>
  <c r="BC33" i="10"/>
  <c r="BB42" i="9"/>
  <c r="BC4" i="9"/>
  <c r="Z43" i="11" l="1"/>
  <c r="AA44" i="11"/>
  <c r="AE10" i="7"/>
  <c r="AE11" i="7" s="1"/>
  <c r="AF79" i="7"/>
  <c r="AI14" i="3"/>
  <c r="AI11" i="9" s="1"/>
  <c r="AI13" i="3"/>
  <c r="AI14" i="9" s="1"/>
  <c r="AW43" i="9"/>
  <c r="AX41" i="9"/>
  <c r="AN61" i="7"/>
  <c r="AN43" i="7"/>
  <c r="AO27" i="7"/>
  <c r="Z8" i="11"/>
  <c r="Z37" i="11"/>
  <c r="AD15" i="7"/>
  <c r="AD13" i="7" s="1"/>
  <c r="AD18" i="7" s="1"/>
  <c r="AD7" i="3" s="1"/>
  <c r="AE14" i="7"/>
  <c r="AJ63" i="7"/>
  <c r="AJ45" i="7"/>
  <c r="AK29" i="7"/>
  <c r="AP32" i="7"/>
  <c r="AO48" i="7"/>
  <c r="AO66" i="7"/>
  <c r="AI15" i="3"/>
  <c r="AI12" i="9" s="1"/>
  <c r="AI76" i="7"/>
  <c r="AI53" i="7"/>
  <c r="AI8" i="7" s="1"/>
  <c r="AI9" i="7" s="1"/>
  <c r="AB53" i="9"/>
  <c r="AC54" i="9" s="1"/>
  <c r="AA56" i="9"/>
  <c r="AA6" i="9" s="1"/>
  <c r="AB52" i="9"/>
  <c r="AB21" i="3"/>
  <c r="AQ68" i="7"/>
  <c r="AQ50" i="7"/>
  <c r="AR34" i="7"/>
  <c r="AI75" i="7"/>
  <c r="AI72" i="7"/>
  <c r="AO26" i="7"/>
  <c r="AN42" i="7"/>
  <c r="AN60" i="7"/>
  <c r="AQ33" i="7"/>
  <c r="AP49" i="7"/>
  <c r="AP67" i="7"/>
  <c r="W30" i="10"/>
  <c r="W32" i="10" s="1"/>
  <c r="W19" i="10"/>
  <c r="X17" i="11"/>
  <c r="W21" i="10"/>
  <c r="AH75" i="7"/>
  <c r="AH72" i="7"/>
  <c r="AL41" i="7"/>
  <c r="AM25" i="7"/>
  <c r="AL59" i="7"/>
  <c r="AH76" i="7"/>
  <c r="AH15" i="3"/>
  <c r="AH12" i="9" s="1"/>
  <c r="AH53" i="7"/>
  <c r="AH8" i="7" s="1"/>
  <c r="AH9" i="7" s="1"/>
  <c r="AC30" i="9"/>
  <c r="AC9" i="3"/>
  <c r="AC16" i="3" s="1"/>
  <c r="AC18" i="3" s="1"/>
  <c r="AO65" i="7"/>
  <c r="AP31" i="7"/>
  <c r="AO47" i="7"/>
  <c r="AK23" i="7"/>
  <c r="AJ35" i="7"/>
  <c r="AJ7" i="7" s="1"/>
  <c r="AJ39" i="7"/>
  <c r="AJ51" i="7" s="1"/>
  <c r="AJ57" i="7"/>
  <c r="AJ69" i="7" s="1"/>
  <c r="AG7" i="10"/>
  <c r="AG36" i="9"/>
  <c r="AK58" i="7"/>
  <c r="AL24" i="7"/>
  <c r="AK40" i="7"/>
  <c r="AN64" i="7"/>
  <c r="AN46" i="7"/>
  <c r="AO30" i="7"/>
  <c r="X6" i="10"/>
  <c r="X10" i="10" s="1"/>
  <c r="X14" i="10" s="1"/>
  <c r="X35" i="9"/>
  <c r="X38" i="9" s="1"/>
  <c r="Y25" i="11" s="1"/>
  <c r="X28" i="9"/>
  <c r="X45" i="9" s="1"/>
  <c r="X49" i="9" s="1"/>
  <c r="X47" i="9" s="1"/>
  <c r="X32" i="9"/>
  <c r="V34" i="10"/>
  <c r="W19" i="11" s="1"/>
  <c r="W27" i="11"/>
  <c r="AB3" i="9"/>
  <c r="AB24" i="9"/>
  <c r="AB9" i="10" s="1"/>
  <c r="Y16" i="9"/>
  <c r="Y37" i="9" s="1"/>
  <c r="Y18" i="9"/>
  <c r="Y20" i="9" s="1"/>
  <c r="AO62" i="7"/>
  <c r="AP28" i="7"/>
  <c r="AO44" i="7"/>
  <c r="AA6" i="11"/>
  <c r="Z31" i="10"/>
  <c r="Z13" i="9"/>
  <c r="BB9" i="9"/>
  <c r="BC12" i="11" s="1"/>
  <c r="BI1" i="4"/>
  <c r="BC10" i="9" s="1"/>
  <c r="BC11" i="3"/>
  <c r="BE4" i="7"/>
  <c r="BC42" i="9"/>
  <c r="AD30" i="9" l="1"/>
  <c r="AD9" i="3"/>
  <c r="AD16" i="3" s="1"/>
  <c r="AD18" i="3" s="1"/>
  <c r="AP26" i="7"/>
  <c r="AO42" i="7"/>
  <c r="AO60" i="7"/>
  <c r="AA8" i="11"/>
  <c r="AA37" i="11"/>
  <c r="AA38" i="11" s="1"/>
  <c r="AA39" i="11" s="1"/>
  <c r="AA40" i="11" s="1"/>
  <c r="AA42" i="11" s="1"/>
  <c r="Y35" i="9"/>
  <c r="Y38" i="9" s="1"/>
  <c r="Z25" i="11" s="1"/>
  <c r="Y32" i="9"/>
  <c r="Y28" i="9"/>
  <c r="Y45" i="9" s="1"/>
  <c r="Y49" i="9" s="1"/>
  <c r="Y47" i="9" s="1"/>
  <c r="Y6" i="10"/>
  <c r="Y10" i="10" s="1"/>
  <c r="Y14" i="10" s="1"/>
  <c r="AJ53" i="7"/>
  <c r="AJ8" i="7" s="1"/>
  <c r="AJ9" i="7" s="1"/>
  <c r="AJ15" i="3"/>
  <c r="AJ12" i="9" s="1"/>
  <c r="AJ76" i="7"/>
  <c r="AC24" i="9"/>
  <c r="AC9" i="10" s="1"/>
  <c r="AC3" i="9"/>
  <c r="AR33" i="7"/>
  <c r="AQ49" i="7"/>
  <c r="AQ67" i="7"/>
  <c r="AB6" i="11"/>
  <c r="AA13" i="9"/>
  <c r="AA31" i="10"/>
  <c r="AI77" i="7"/>
  <c r="AI78" i="7" s="1"/>
  <c r="AI17" i="9" s="1"/>
  <c r="AI8" i="10" s="1"/>
  <c r="AP48" i="7"/>
  <c r="AP66" i="7"/>
  <c r="AQ32" i="7"/>
  <c r="AC21" i="3"/>
  <c r="AC52" i="9"/>
  <c r="AC53" i="9"/>
  <c r="AD54" i="9" s="1"/>
  <c r="AB56" i="9"/>
  <c r="AB6" i="9" s="1"/>
  <c r="X19" i="10"/>
  <c r="X30" i="10"/>
  <c r="X32" i="10" s="1"/>
  <c r="Y17" i="11"/>
  <c r="X21" i="10"/>
  <c r="AJ14" i="3"/>
  <c r="AJ11" i="9" s="1"/>
  <c r="AJ13" i="3"/>
  <c r="AJ14" i="9" s="1"/>
  <c r="AP65" i="7"/>
  <c r="AQ31" i="7"/>
  <c r="AP47" i="7"/>
  <c r="AH77" i="7"/>
  <c r="AH78" i="7" s="1"/>
  <c r="AH17" i="9" s="1"/>
  <c r="AH8" i="10" s="1"/>
  <c r="W34" i="10"/>
  <c r="X19" i="11" s="1"/>
  <c r="X27" i="11"/>
  <c r="AI36" i="9"/>
  <c r="AI7" i="10"/>
  <c r="AK63" i="7"/>
  <c r="AL29" i="7"/>
  <c r="AK45" i="7"/>
  <c r="AY41" i="9"/>
  <c r="AX43" i="9"/>
  <c r="AG79" i="7"/>
  <c r="AF10" i="7"/>
  <c r="AF11" i="7" s="1"/>
  <c r="AJ75" i="7"/>
  <c r="AJ77" i="7" s="1"/>
  <c r="AJ78" i="7" s="1"/>
  <c r="AJ17" i="9" s="1"/>
  <c r="AJ8" i="10" s="1"/>
  <c r="AJ72" i="7"/>
  <c r="AH7" i="10"/>
  <c r="AH36" i="9"/>
  <c r="AR68" i="7"/>
  <c r="AR50" i="7"/>
  <c r="AS34" i="7"/>
  <c r="Z38" i="11"/>
  <c r="Z39" i="11" s="1"/>
  <c r="Z16" i="9"/>
  <c r="Z37" i="9" s="1"/>
  <c r="AP62" i="7"/>
  <c r="AQ28" i="7"/>
  <c r="AP44" i="7"/>
  <c r="AO64" i="7"/>
  <c r="AP30" i="7"/>
  <c r="AO46" i="7"/>
  <c r="AL40" i="7"/>
  <c r="AL58" i="7"/>
  <c r="AM24" i="7"/>
  <c r="AL23" i="7"/>
  <c r="AK39" i="7"/>
  <c r="AK51" i="7" s="1"/>
  <c r="AK57" i="7"/>
  <c r="AK69" i="7" s="1"/>
  <c r="AK35" i="7"/>
  <c r="AK7" i="7" s="1"/>
  <c r="AN25" i="7"/>
  <c r="AM41" i="7"/>
  <c r="AM59" i="7"/>
  <c r="AO43" i="7"/>
  <c r="AO61" i="7"/>
  <c r="AP27" i="7"/>
  <c r="AF14" i="7"/>
  <c r="AE15" i="7"/>
  <c r="AE13" i="7" s="1"/>
  <c r="AE18" i="7" s="1"/>
  <c r="AE7" i="3" s="1"/>
  <c r="BC9" i="9"/>
  <c r="BD12" i="11" s="1"/>
  <c r="BF4" i="7"/>
  <c r="AE9" i="3" l="1"/>
  <c r="AE16" i="3" s="1"/>
  <c r="AE18" i="3" s="1"/>
  <c r="AE30" i="9"/>
  <c r="AK75" i="7"/>
  <c r="AK72" i="7"/>
  <c r="AR31" i="7"/>
  <c r="AQ47" i="7"/>
  <c r="AQ65" i="7"/>
  <c r="AA16" i="9"/>
  <c r="AA37" i="9" s="1"/>
  <c r="Y21" i="10"/>
  <c r="Y19" i="10"/>
  <c r="Y30" i="10"/>
  <c r="Y32" i="10" s="1"/>
  <c r="Z17" i="11"/>
  <c r="AP60" i="7"/>
  <c r="AP42" i="7"/>
  <c r="AQ26" i="7"/>
  <c r="AK53" i="7"/>
  <c r="AK8" i="7" s="1"/>
  <c r="AK9" i="7" s="1"/>
  <c r="AK76" i="7"/>
  <c r="AK77" i="7" s="1"/>
  <c r="AK78" i="7" s="1"/>
  <c r="AK17" i="9" s="1"/>
  <c r="AK8" i="10" s="1"/>
  <c r="AK15" i="3"/>
  <c r="AK12" i="9" s="1"/>
  <c r="Z18" i="9"/>
  <c r="Z20" i="9" s="1"/>
  <c r="AT34" i="7"/>
  <c r="AS50" i="7"/>
  <c r="AS68" i="7"/>
  <c r="AY43" i="9"/>
  <c r="AZ41" i="9"/>
  <c r="AB13" i="9"/>
  <c r="AC6" i="11"/>
  <c r="AB31" i="10"/>
  <c r="AB16" i="9"/>
  <c r="AB37" i="9" s="1"/>
  <c r="AB8" i="11"/>
  <c r="AB37" i="11"/>
  <c r="AS33" i="7"/>
  <c r="AR49" i="7"/>
  <c r="AR67" i="7"/>
  <c r="AD21" i="3"/>
  <c r="AD52" i="9"/>
  <c r="AN24" i="7"/>
  <c r="AM58" i="7"/>
  <c r="AM40" i="7"/>
  <c r="AB43" i="11"/>
  <c r="AC44" i="11"/>
  <c r="AP43" i="7"/>
  <c r="AQ27" i="7"/>
  <c r="AP61" i="7"/>
  <c r="AN41" i="7"/>
  <c r="AN59" i="7"/>
  <c r="AO25" i="7"/>
  <c r="AL35" i="7"/>
  <c r="AL7" i="7" s="1"/>
  <c r="AL39" i="7"/>
  <c r="AM23" i="7"/>
  <c r="AL57" i="7"/>
  <c r="AF15" i="7"/>
  <c r="AF13" i="7" s="1"/>
  <c r="AF18" i="7" s="1"/>
  <c r="AF7" i="3" s="1"/>
  <c r="AG14" i="7"/>
  <c r="Y27" i="11"/>
  <c r="X34" i="10"/>
  <c r="Y19" i="11" s="1"/>
  <c r="AJ7" i="10"/>
  <c r="AJ36" i="9"/>
  <c r="AD24" i="9"/>
  <c r="AD9" i="10" s="1"/>
  <c r="AD3" i="9"/>
  <c r="AP64" i="7"/>
  <c r="AQ30" i="7"/>
  <c r="AP46" i="7"/>
  <c r="AK14" i="3"/>
  <c r="AK11" i="9" s="1"/>
  <c r="AK13" i="3"/>
  <c r="AK14" i="9" s="1"/>
  <c r="AR28" i="7"/>
  <c r="AQ62" i="7"/>
  <c r="AQ44" i="7"/>
  <c r="Z40" i="11"/>
  <c r="Z42" i="11" s="1"/>
  <c r="AG10" i="7"/>
  <c r="AG11" i="7" s="1"/>
  <c r="AH79" i="7"/>
  <c r="AL63" i="7"/>
  <c r="AL45" i="7"/>
  <c r="AM29" i="7"/>
  <c r="AC56" i="9"/>
  <c r="AC6" i="9" s="1"/>
  <c r="AD53" i="9"/>
  <c r="AE54" i="9" s="1"/>
  <c r="AQ66" i="7"/>
  <c r="AR32" i="7"/>
  <c r="AQ48" i="7"/>
  <c r="BG4" i="7"/>
  <c r="AR44" i="7" l="1"/>
  <c r="AS28" i="7"/>
  <c r="AR62" i="7"/>
  <c r="AF30" i="9"/>
  <c r="AF9" i="3"/>
  <c r="AF16" i="3" s="1"/>
  <c r="AF18" i="3" s="1"/>
  <c r="AL13" i="3"/>
  <c r="AL14" i="9" s="1"/>
  <c r="AL14" i="3"/>
  <c r="AL11" i="9" s="1"/>
  <c r="AT33" i="7"/>
  <c r="AS67" i="7"/>
  <c r="AS49" i="7"/>
  <c r="AC31" i="10"/>
  <c r="AD6" i="11"/>
  <c r="AC13" i="9"/>
  <c r="AB44" i="11"/>
  <c r="AA43" i="11"/>
  <c r="AL69" i="7"/>
  <c r="AO41" i="7"/>
  <c r="AP25" i="7"/>
  <c r="AO59" i="7"/>
  <c r="AQ61" i="7"/>
  <c r="AQ43" i="7"/>
  <c r="AR27" i="7"/>
  <c r="AB38" i="11"/>
  <c r="AB39" i="11" s="1"/>
  <c r="AB40" i="11"/>
  <c r="AB42" i="11" s="1"/>
  <c r="AC37" i="11"/>
  <c r="AC8" i="11"/>
  <c r="AA18" i="9"/>
  <c r="AA20" i="9" s="1"/>
  <c r="AE53" i="9"/>
  <c r="AF54" i="9" s="1"/>
  <c r="AD56" i="9"/>
  <c r="AD6" i="9" s="1"/>
  <c r="Z28" i="9"/>
  <c r="Z45" i="9" s="1"/>
  <c r="Z49" i="9" s="1"/>
  <c r="Z47" i="9" s="1"/>
  <c r="Z6" i="10"/>
  <c r="Z10" i="10" s="1"/>
  <c r="Z14" i="10" s="1"/>
  <c r="Z32" i="9"/>
  <c r="Z35" i="9"/>
  <c r="Z38" i="9" s="1"/>
  <c r="AA25" i="11" s="1"/>
  <c r="AR48" i="7"/>
  <c r="AS32" i="7"/>
  <c r="AR66" i="7"/>
  <c r="AH10" i="7"/>
  <c r="AH11" i="7" s="1"/>
  <c r="AI79" i="7"/>
  <c r="AQ46" i="7"/>
  <c r="AR30" i="7"/>
  <c r="AQ64" i="7"/>
  <c r="AM57" i="7"/>
  <c r="AN23" i="7"/>
  <c r="AM39" i="7"/>
  <c r="AM51" i="7" s="1"/>
  <c r="AM35" i="7"/>
  <c r="AM7" i="7" s="1"/>
  <c r="AB18" i="9"/>
  <c r="AB20" i="9" s="1"/>
  <c r="AQ60" i="7"/>
  <c r="AR26" i="7"/>
  <c r="AQ42" i="7"/>
  <c r="Y34" i="10"/>
  <c r="Z19" i="11" s="1"/>
  <c r="Z27" i="11"/>
  <c r="AR47" i="7"/>
  <c r="AR65" i="7"/>
  <c r="AS31" i="7"/>
  <c r="AE24" i="9"/>
  <c r="AE9" i="10" s="1"/>
  <c r="AE3" i="9"/>
  <c r="AM63" i="7"/>
  <c r="AM45" i="7"/>
  <c r="AN29" i="7"/>
  <c r="AG15" i="7"/>
  <c r="AG13" i="7" s="1"/>
  <c r="AG18" i="7" s="1"/>
  <c r="AG7" i="3" s="1"/>
  <c r="AH14" i="7"/>
  <c r="AL51" i="7"/>
  <c r="AN40" i="7"/>
  <c r="AN58" i="7"/>
  <c r="AO24" i="7"/>
  <c r="AZ43" i="9"/>
  <c r="BA41" i="9"/>
  <c r="AT68" i="7"/>
  <c r="AU34" i="7"/>
  <c r="AT50" i="7"/>
  <c r="AK7" i="10"/>
  <c r="AK36" i="9"/>
  <c r="AE21" i="3"/>
  <c r="AE52" i="9"/>
  <c r="BH4" i="7"/>
  <c r="AG30" i="9" l="1"/>
  <c r="AG9" i="3"/>
  <c r="AG16" i="3" s="1"/>
  <c r="AG18" i="3" s="1"/>
  <c r="AL76" i="7"/>
  <c r="AL77" i="7" s="1"/>
  <c r="AL78" i="7" s="1"/>
  <c r="AL17" i="9" s="1"/>
  <c r="AL8" i="10" s="1"/>
  <c r="AL15" i="3"/>
  <c r="AL12" i="9" s="1"/>
  <c r="AL53" i="7"/>
  <c r="AL8" i="7" s="1"/>
  <c r="AL9" i="7" s="1"/>
  <c r="AN63" i="7"/>
  <c r="AN45" i="7"/>
  <c r="AO29" i="7"/>
  <c r="AN39" i="7"/>
  <c r="AN51" i="7" s="1"/>
  <c r="AO23" i="7"/>
  <c r="AN57" i="7"/>
  <c r="AN35" i="7"/>
  <c r="AN7" i="7" s="1"/>
  <c r="AD44" i="11"/>
  <c r="AC43" i="11"/>
  <c r="AL75" i="7"/>
  <c r="AL72" i="7"/>
  <c r="AD8" i="11"/>
  <c r="AD37" i="11"/>
  <c r="AD38" i="11" s="1"/>
  <c r="AD39" i="11" s="1"/>
  <c r="AD40" i="11" s="1"/>
  <c r="AD42" i="11" s="1"/>
  <c r="AU33" i="7"/>
  <c r="AT49" i="7"/>
  <c r="AT67" i="7"/>
  <c r="AF24" i="9"/>
  <c r="AF9" i="10" s="1"/>
  <c r="AF3" i="9"/>
  <c r="AU68" i="7"/>
  <c r="AU50" i="7"/>
  <c r="AV34" i="7"/>
  <c r="AO58" i="7"/>
  <c r="AP24" i="7"/>
  <c r="AO40" i="7"/>
  <c r="AT31" i="7"/>
  <c r="AS47" i="7"/>
  <c r="AS65" i="7"/>
  <c r="AB28" i="9"/>
  <c r="AB45" i="9" s="1"/>
  <c r="AB49" i="9" s="1"/>
  <c r="AB47" i="9" s="1"/>
  <c r="AB32" i="9"/>
  <c r="AB6" i="10"/>
  <c r="AB10" i="10" s="1"/>
  <c r="AB14" i="10" s="1"/>
  <c r="AB35" i="9"/>
  <c r="AB38" i="9" s="1"/>
  <c r="AC25" i="11" s="1"/>
  <c r="AM69" i="7"/>
  <c r="AT32" i="7"/>
  <c r="AS66" i="7"/>
  <c r="AS48" i="7"/>
  <c r="Z21" i="10"/>
  <c r="Z30" i="10"/>
  <c r="Z32" i="10" s="1"/>
  <c r="AA17" i="11"/>
  <c r="Z19" i="10"/>
  <c r="AA6" i="10"/>
  <c r="AA10" i="10" s="1"/>
  <c r="AA14" i="10" s="1"/>
  <c r="AA35" i="9"/>
  <c r="AA38" i="9" s="1"/>
  <c r="AB25" i="11" s="1"/>
  <c r="AA28" i="9"/>
  <c r="AA45" i="9" s="1"/>
  <c r="AA49" i="9" s="1"/>
  <c r="AA47" i="9" s="1"/>
  <c r="AA32" i="9"/>
  <c r="AE56" i="9"/>
  <c r="AE6" i="9" s="1"/>
  <c r="AF53" i="9"/>
  <c r="AG54" i="9" s="1"/>
  <c r="AH13" i="7"/>
  <c r="AH18" i="7" s="1"/>
  <c r="AH7" i="3" s="1"/>
  <c r="AM14" i="3"/>
  <c r="AM11" i="9" s="1"/>
  <c r="AM13" i="3"/>
  <c r="AM14" i="9" s="1"/>
  <c r="AJ79" i="7"/>
  <c r="AI10" i="7"/>
  <c r="AI11" i="7" s="1"/>
  <c r="AR61" i="7"/>
  <c r="AR43" i="7"/>
  <c r="AS27" i="7"/>
  <c r="AP59" i="7"/>
  <c r="AP41" i="7"/>
  <c r="AQ25" i="7"/>
  <c r="AS44" i="7"/>
  <c r="AS62" i="7"/>
  <c r="AT28" i="7"/>
  <c r="BB41" i="9"/>
  <c r="BA43" i="9"/>
  <c r="AR42" i="7"/>
  <c r="AR60" i="7"/>
  <c r="AS26" i="7"/>
  <c r="AM15" i="3"/>
  <c r="AM12" i="9" s="1"/>
  <c r="AM76" i="7"/>
  <c r="AM53" i="7"/>
  <c r="AM8" i="7" s="1"/>
  <c r="AM9" i="7" s="1"/>
  <c r="AR46" i="7"/>
  <c r="AS30" i="7"/>
  <c r="AR64" i="7"/>
  <c r="AI14" i="7"/>
  <c r="AH15" i="7"/>
  <c r="AD13" i="9"/>
  <c r="AE6" i="11"/>
  <c r="AD31" i="10"/>
  <c r="AC38" i="11"/>
  <c r="AC39" i="11" s="1"/>
  <c r="AC16" i="9"/>
  <c r="AC37" i="9" s="1"/>
  <c r="AC18" i="9"/>
  <c r="AC20" i="9" s="1"/>
  <c r="AF52" i="9"/>
  <c r="AF21" i="3"/>
  <c r="BI4" i="7"/>
  <c r="AC35" i="9" l="1"/>
  <c r="AC38" i="9" s="1"/>
  <c r="AD25" i="11" s="1"/>
  <c r="AC6" i="10"/>
  <c r="AC10" i="10" s="1"/>
  <c r="AC14" i="10" s="1"/>
  <c r="AC32" i="9"/>
  <c r="AC28" i="9"/>
  <c r="AC45" i="9" s="1"/>
  <c r="AC49" i="9" s="1"/>
  <c r="AC47" i="9" s="1"/>
  <c r="AB17" i="11"/>
  <c r="AA19" i="10"/>
  <c r="AA21" i="10"/>
  <c r="AA30" i="10"/>
  <c r="AA32" i="10" s="1"/>
  <c r="AM75" i="7"/>
  <c r="AM72" i="7"/>
  <c r="AP58" i="7"/>
  <c r="AQ24" i="7"/>
  <c r="AP40" i="7"/>
  <c r="AP23" i="7"/>
  <c r="AO57" i="7"/>
  <c r="AO35" i="7"/>
  <c r="AO7" i="7" s="1"/>
  <c r="AO39" i="7"/>
  <c r="AM77" i="7"/>
  <c r="AM78" i="7" s="1"/>
  <c r="AM17" i="9" s="1"/>
  <c r="AM8" i="10" s="1"/>
  <c r="AH9" i="3"/>
  <c r="AH16" i="3" s="1"/>
  <c r="AH18" i="3" s="1"/>
  <c r="AH30" i="9"/>
  <c r="AC40" i="11"/>
  <c r="AC42" i="11" s="1"/>
  <c r="AD16" i="9"/>
  <c r="AD37" i="9" s="1"/>
  <c r="AS46" i="7"/>
  <c r="AT30" i="7"/>
  <c r="AS64" i="7"/>
  <c r="AM36" i="9"/>
  <c r="AM7" i="10"/>
  <c r="AS61" i="7"/>
  <c r="AS43" i="7"/>
  <c r="AT27" i="7"/>
  <c r="AJ10" i="7"/>
  <c r="AJ11" i="7" s="1"/>
  <c r="AK79" i="7"/>
  <c r="AB21" i="10"/>
  <c r="AB30" i="10"/>
  <c r="AB32" i="10" s="1"/>
  <c r="AB19" i="10"/>
  <c r="AC17" i="11"/>
  <c r="AV33" i="7"/>
  <c r="AU67" i="7"/>
  <c r="AU49" i="7"/>
  <c r="AN13" i="3"/>
  <c r="AN14" i="9" s="1"/>
  <c r="AN14" i="3"/>
  <c r="AN11" i="9" s="1"/>
  <c r="AO63" i="7"/>
  <c r="AO45" i="7"/>
  <c r="AP29" i="7"/>
  <c r="AG52" i="9"/>
  <c r="AG21" i="3"/>
  <c r="AT62" i="7"/>
  <c r="AT44" i="7"/>
  <c r="AU28" i="7"/>
  <c r="AL36" i="9"/>
  <c r="AL7" i="10"/>
  <c r="AE37" i="11"/>
  <c r="AE38" i="11" s="1"/>
  <c r="AE39" i="11" s="1"/>
  <c r="AE40" i="11" s="1"/>
  <c r="AE42" i="11" s="1"/>
  <c r="AE8" i="11"/>
  <c r="AJ14" i="7"/>
  <c r="AI15" i="7"/>
  <c r="AI13" i="7" s="1"/>
  <c r="AI18" i="7" s="1"/>
  <c r="AI7" i="3" s="1"/>
  <c r="AN76" i="7"/>
  <c r="AN15" i="3"/>
  <c r="AN12" i="9" s="1"/>
  <c r="AN53" i="7"/>
  <c r="AN8" i="7" s="1"/>
  <c r="AN9" i="7" s="1"/>
  <c r="AG53" i="9"/>
  <c r="AH54" i="9" s="1"/>
  <c r="AF56" i="9"/>
  <c r="AF6" i="9" s="1"/>
  <c r="AS42" i="7"/>
  <c r="AT26" i="7"/>
  <c r="AS60" i="7"/>
  <c r="BB43" i="9"/>
  <c r="BC41" i="9"/>
  <c r="BC43" i="9" s="1"/>
  <c r="AR25" i="7"/>
  <c r="AQ41" i="7"/>
  <c r="AQ59" i="7"/>
  <c r="AF6" i="11"/>
  <c r="AE31" i="10"/>
  <c r="AE13" i="9"/>
  <c r="AA27" i="11"/>
  <c r="Z34" i="10"/>
  <c r="AA19" i="11" s="1"/>
  <c r="AU32" i="7"/>
  <c r="AT48" i="7"/>
  <c r="AT66" i="7"/>
  <c r="AT47" i="7"/>
  <c r="AU31" i="7"/>
  <c r="AT65" i="7"/>
  <c r="AV50" i="7"/>
  <c r="AW34" i="7"/>
  <c r="AV68" i="7"/>
  <c r="AE43" i="11"/>
  <c r="AF44" i="11"/>
  <c r="AN69" i="7"/>
  <c r="AG3" i="9"/>
  <c r="AG24" i="9"/>
  <c r="AG9" i="10" s="1"/>
  <c r="BJ4" i="7"/>
  <c r="AI30" i="9" l="1"/>
  <c r="AI9" i="3"/>
  <c r="AI16" i="3" s="1"/>
  <c r="AI18" i="3" s="1"/>
  <c r="AU30" i="7"/>
  <c r="AT46" i="7"/>
  <c r="AT64" i="7"/>
  <c r="AD43" i="11"/>
  <c r="AE44" i="11"/>
  <c r="AQ23" i="7"/>
  <c r="AP57" i="7"/>
  <c r="AP39" i="7"/>
  <c r="AP35" i="7"/>
  <c r="AP7" i="7" s="1"/>
  <c r="AE16" i="9"/>
  <c r="AE37" i="9" s="1"/>
  <c r="AK14" i="7"/>
  <c r="AJ15" i="7"/>
  <c r="AJ13" i="7" s="1"/>
  <c r="AJ18" i="7" s="1"/>
  <c r="AJ7" i="3" s="1"/>
  <c r="AO51" i="7"/>
  <c r="AC30" i="10"/>
  <c r="AC32" i="10" s="1"/>
  <c r="AC19" i="10"/>
  <c r="AC21" i="10"/>
  <c r="AD17" i="11"/>
  <c r="AF31" i="10"/>
  <c r="AF13" i="9"/>
  <c r="AG6" i="11"/>
  <c r="AK10" i="7"/>
  <c r="AK11" i="7" s="1"/>
  <c r="AL79" i="7"/>
  <c r="AN75" i="7"/>
  <c r="AN77" i="7" s="1"/>
  <c r="AN78" i="7" s="1"/>
  <c r="AN17" i="9" s="1"/>
  <c r="AN8" i="10" s="1"/>
  <c r="AN72" i="7"/>
  <c r="AV31" i="7"/>
  <c r="AU47" i="7"/>
  <c r="AU65" i="7"/>
  <c r="AV32" i="7"/>
  <c r="AU48" i="7"/>
  <c r="AU66" i="7"/>
  <c r="AR41" i="7"/>
  <c r="AS25" i="7"/>
  <c r="AR59" i="7"/>
  <c r="AT42" i="7"/>
  <c r="AT60" i="7"/>
  <c r="AU26" i="7"/>
  <c r="AN7" i="10"/>
  <c r="AN36" i="9"/>
  <c r="AU44" i="7"/>
  <c r="AV28" i="7"/>
  <c r="AU62" i="7"/>
  <c r="AH53" i="9"/>
  <c r="AI54" i="9" s="1"/>
  <c r="AG56" i="9"/>
  <c r="AG6" i="9" s="1"/>
  <c r="AB34" i="10"/>
  <c r="AC19" i="11" s="1"/>
  <c r="AC27" i="11"/>
  <c r="AT43" i="7"/>
  <c r="AT61" i="7"/>
  <c r="AU27" i="7"/>
  <c r="AD18" i="9"/>
  <c r="AD20" i="9" s="1"/>
  <c r="AH24" i="9"/>
  <c r="AH9" i="10" s="1"/>
  <c r="AH3" i="9"/>
  <c r="AO14" i="3"/>
  <c r="AO11" i="9" s="1"/>
  <c r="AO13" i="3"/>
  <c r="AO14" i="9" s="1"/>
  <c r="AQ40" i="7"/>
  <c r="AQ58" i="7"/>
  <c r="AR24" i="7"/>
  <c r="AW50" i="7"/>
  <c r="AW68" i="7"/>
  <c r="AX34" i="7"/>
  <c r="AF8" i="11"/>
  <c r="AF37" i="11"/>
  <c r="AF38" i="11" s="1"/>
  <c r="AF39" i="11" s="1"/>
  <c r="AF40" i="11" s="1"/>
  <c r="AF42" i="11" s="1"/>
  <c r="AF43" i="11"/>
  <c r="AG44" i="11"/>
  <c r="AP63" i="7"/>
  <c r="AP45" i="7"/>
  <c r="AQ29" i="7"/>
  <c r="AW33" i="7"/>
  <c r="AV67" i="7"/>
  <c r="AV49" i="7"/>
  <c r="AH52" i="9"/>
  <c r="AH21" i="3"/>
  <c r="AO69" i="7"/>
  <c r="AA34" i="10"/>
  <c r="AB19" i="11" s="1"/>
  <c r="AB27" i="11"/>
  <c r="BK4" i="7"/>
  <c r="AJ9" i="3" l="1"/>
  <c r="AJ16" i="3" s="1"/>
  <c r="AJ18" i="3" s="1"/>
  <c r="AJ30" i="9"/>
  <c r="AO75" i="7"/>
  <c r="AO72" i="7"/>
  <c r="AR58" i="7"/>
  <c r="AS24" i="7"/>
  <c r="AR40" i="7"/>
  <c r="AL10" i="7"/>
  <c r="AL11" i="7" s="1"/>
  <c r="AM79" i="7"/>
  <c r="AP13" i="3"/>
  <c r="AP14" i="9" s="1"/>
  <c r="AP14" i="3"/>
  <c r="AP11" i="9" s="1"/>
  <c r="AU46" i="7"/>
  <c r="AU64" i="7"/>
  <c r="AV30" i="7"/>
  <c r="AX33" i="7"/>
  <c r="AW49" i="7"/>
  <c r="AW67" i="7"/>
  <c r="AY34" i="7"/>
  <c r="AX50" i="7"/>
  <c r="AX68" i="7"/>
  <c r="AV62" i="7"/>
  <c r="AW28" i="7"/>
  <c r="AV44" i="7"/>
  <c r="AV47" i="7"/>
  <c r="AV65" i="7"/>
  <c r="AW31" i="7"/>
  <c r="AL14" i="7"/>
  <c r="AK15" i="7"/>
  <c r="AK13" i="7" s="1"/>
  <c r="AK18" i="7" s="1"/>
  <c r="AK7" i="3" s="1"/>
  <c r="AD27" i="11"/>
  <c r="AC34" i="10"/>
  <c r="AD19" i="11" s="1"/>
  <c r="AP51" i="7"/>
  <c r="AI21" i="3"/>
  <c r="AI52" i="9"/>
  <c r="AU61" i="7"/>
  <c r="AU43" i="7"/>
  <c r="AV27" i="7"/>
  <c r="AI53" i="9"/>
  <c r="AJ54" i="9" s="1"/>
  <c r="AH56" i="9"/>
  <c r="AH6" i="9" s="1"/>
  <c r="AQ63" i="7"/>
  <c r="AQ45" i="7"/>
  <c r="AR29" i="7"/>
  <c r="AH6" i="11"/>
  <c r="AG13" i="9"/>
  <c r="AG31" i="10"/>
  <c r="AU42" i="7"/>
  <c r="AU60" i="7"/>
  <c r="AV26" i="7"/>
  <c r="AS41" i="7"/>
  <c r="AT25" i="7"/>
  <c r="AS59" i="7"/>
  <c r="AV66" i="7"/>
  <c r="AW32" i="7"/>
  <c r="AV48" i="7"/>
  <c r="AF16" i="9"/>
  <c r="AF37" i="9" s="1"/>
  <c r="AO15" i="3"/>
  <c r="AO12" i="9" s="1"/>
  <c r="AO76" i="7"/>
  <c r="AO77" i="7" s="1"/>
  <c r="AO78" i="7" s="1"/>
  <c r="AO17" i="9" s="1"/>
  <c r="AO8" i="10" s="1"/>
  <c r="AO53" i="7"/>
  <c r="AO8" i="7" s="1"/>
  <c r="AO9" i="7" s="1"/>
  <c r="AE18" i="9"/>
  <c r="AE20" i="9" s="1"/>
  <c r="AP69" i="7"/>
  <c r="AI3" i="9"/>
  <c r="AI24" i="9"/>
  <c r="AI9" i="10" s="1"/>
  <c r="AG43" i="11"/>
  <c r="AH44" i="11"/>
  <c r="AD32" i="9"/>
  <c r="AD28" i="9"/>
  <c r="AD45" i="9" s="1"/>
  <c r="AD49" i="9" s="1"/>
  <c r="AD47" i="9" s="1"/>
  <c r="AD6" i="10"/>
  <c r="AD10" i="10" s="1"/>
  <c r="AD14" i="10" s="1"/>
  <c r="AD35" i="9"/>
  <c r="AD38" i="9" s="1"/>
  <c r="AE25" i="11" s="1"/>
  <c r="AG37" i="11"/>
  <c r="AG8" i="11"/>
  <c r="AQ39" i="7"/>
  <c r="AQ51" i="7" s="1"/>
  <c r="AQ57" i="7"/>
  <c r="AR23" i="7"/>
  <c r="AQ35" i="7"/>
  <c r="AQ7" i="7" s="1"/>
  <c r="AK30" i="9" l="1"/>
  <c r="AK9" i="3"/>
  <c r="AK16" i="3" s="1"/>
  <c r="AK18" i="3" s="1"/>
  <c r="AR57" i="7"/>
  <c r="AR35" i="7"/>
  <c r="AR7" i="7" s="1"/>
  <c r="AR39" i="7"/>
  <c r="AR51" i="7" s="1"/>
  <c r="AS23" i="7"/>
  <c r="AG38" i="11"/>
  <c r="AG39" i="11" s="1"/>
  <c r="AT41" i="7"/>
  <c r="AT59" i="7"/>
  <c r="AU25" i="7"/>
  <c r="AH37" i="11"/>
  <c r="AH38" i="11" s="1"/>
  <c r="AH39" i="11" s="1"/>
  <c r="AH40" i="11" s="1"/>
  <c r="AH42" i="11" s="1"/>
  <c r="AH8" i="11"/>
  <c r="AH13" i="9"/>
  <c r="AH31" i="10"/>
  <c r="AI6" i="11"/>
  <c r="AH16" i="9"/>
  <c r="AH37" i="9" s="1"/>
  <c r="AP53" i="7"/>
  <c r="AP8" i="7" s="1"/>
  <c r="AP9" i="7" s="1"/>
  <c r="AP15" i="3"/>
  <c r="AP12" i="9" s="1"/>
  <c r="AP76" i="7"/>
  <c r="AF18" i="9"/>
  <c r="AF20" i="9" s="1"/>
  <c r="AS40" i="7"/>
  <c r="AS58" i="7"/>
  <c r="AT24" i="7"/>
  <c r="AQ13" i="3"/>
  <c r="AQ14" i="9" s="1"/>
  <c r="AQ14" i="3"/>
  <c r="AQ11" i="9" s="1"/>
  <c r="AQ69" i="7"/>
  <c r="AP75" i="7"/>
  <c r="AP77" i="7" s="1"/>
  <c r="AP78" i="7" s="1"/>
  <c r="AP17" i="9" s="1"/>
  <c r="AP8" i="10" s="1"/>
  <c r="AP72" i="7"/>
  <c r="AX32" i="7"/>
  <c r="AW48" i="7"/>
  <c r="AW66" i="7"/>
  <c r="AG16" i="9"/>
  <c r="AG37" i="9" s="1"/>
  <c r="AR63" i="7"/>
  <c r="AR45" i="7"/>
  <c r="AS29" i="7"/>
  <c r="AX31" i="7"/>
  <c r="AW47" i="7"/>
  <c r="AW65" i="7"/>
  <c r="AY33" i="7"/>
  <c r="AX49" i="7"/>
  <c r="AX67" i="7"/>
  <c r="AN79" i="7"/>
  <c r="AM10" i="7"/>
  <c r="AM11" i="7" s="1"/>
  <c r="AJ3" i="9"/>
  <c r="AJ24" i="9"/>
  <c r="AJ9" i="10" s="1"/>
  <c r="AQ15" i="3"/>
  <c r="AQ12" i="9" s="1"/>
  <c r="AQ76" i="7"/>
  <c r="AQ53" i="7"/>
  <c r="AQ8" i="7" s="1"/>
  <c r="AQ9" i="7" s="1"/>
  <c r="AD21" i="10"/>
  <c r="AD30" i="10"/>
  <c r="AD32" i="10" s="1"/>
  <c r="AD19" i="10"/>
  <c r="AE17" i="11"/>
  <c r="AE28" i="9"/>
  <c r="AE45" i="9" s="1"/>
  <c r="AE49" i="9" s="1"/>
  <c r="AE47" i="9" s="1"/>
  <c r="AE32" i="9"/>
  <c r="AE6" i="10"/>
  <c r="AE10" i="10" s="1"/>
  <c r="AE14" i="10" s="1"/>
  <c r="AE35" i="9"/>
  <c r="AE38" i="9" s="1"/>
  <c r="AF25" i="11" s="1"/>
  <c r="AO7" i="10"/>
  <c r="AO36" i="9"/>
  <c r="AW26" i="7"/>
  <c r="AV42" i="7"/>
  <c r="AV60" i="7"/>
  <c r="AV61" i="7"/>
  <c r="AV43" i="7"/>
  <c r="AW27" i="7"/>
  <c r="AI56" i="9"/>
  <c r="AI6" i="9" s="1"/>
  <c r="AJ53" i="9"/>
  <c r="AK54" i="9" s="1"/>
  <c r="AX28" i="7"/>
  <c r="AW44" i="7"/>
  <c r="AW62" i="7"/>
  <c r="AY50" i="7"/>
  <c r="AZ34" i="7"/>
  <c r="AY68" i="7"/>
  <c r="AW30" i="7"/>
  <c r="AV46" i="7"/>
  <c r="AV64" i="7"/>
  <c r="AL15" i="7"/>
  <c r="AL13" i="7" s="1"/>
  <c r="AL18" i="7" s="1"/>
  <c r="AL7" i="3" s="1"/>
  <c r="AM14" i="7"/>
  <c r="AJ21" i="3"/>
  <c r="AJ52" i="9"/>
  <c r="AL9" i="3" l="1"/>
  <c r="AL16" i="3" s="1"/>
  <c r="AL18" i="3" s="1"/>
  <c r="AL30" i="9"/>
  <c r="AE30" i="10"/>
  <c r="AE32" i="10" s="1"/>
  <c r="AE19" i="10"/>
  <c r="AF17" i="11"/>
  <c r="AE21" i="10"/>
  <c r="AK53" i="9"/>
  <c r="AL54" i="9" s="1"/>
  <c r="AJ56" i="9"/>
  <c r="AJ6" i="9" s="1"/>
  <c r="AW46" i="7"/>
  <c r="AX30" i="7"/>
  <c r="AW64" i="7"/>
  <c r="AI31" i="10"/>
  <c r="AI13" i="9"/>
  <c r="AJ6" i="11"/>
  <c r="AQ7" i="10"/>
  <c r="AQ36" i="9"/>
  <c r="AY31" i="7"/>
  <c r="AX47" i="7"/>
  <c r="AX65" i="7"/>
  <c r="AR53" i="7"/>
  <c r="AR8" i="7" s="1"/>
  <c r="AR9" i="7" s="1"/>
  <c r="AR76" i="7"/>
  <c r="AR15" i="3"/>
  <c r="AR12" i="9" s="1"/>
  <c r="AW61" i="7"/>
  <c r="AW43" i="7"/>
  <c r="AX27" i="7"/>
  <c r="AO79" i="7"/>
  <c r="AN10" i="7"/>
  <c r="AN11" i="7" s="1"/>
  <c r="AZ33" i="7"/>
  <c r="AY49" i="7"/>
  <c r="AY67" i="7"/>
  <c r="AS63" i="7"/>
  <c r="AS45" i="7"/>
  <c r="AT29" i="7"/>
  <c r="AI37" i="11"/>
  <c r="AI38" i="11" s="1"/>
  <c r="AI39" i="11" s="1"/>
  <c r="AI40" i="11" s="1"/>
  <c r="AI42" i="11" s="1"/>
  <c r="AI8" i="11"/>
  <c r="AJ44" i="11"/>
  <c r="AI43" i="11"/>
  <c r="AG40" i="11"/>
  <c r="AG42" i="11" s="1"/>
  <c r="AR13" i="3"/>
  <c r="AR14" i="9" s="1"/>
  <c r="AR14" i="3"/>
  <c r="AR11" i="9" s="1"/>
  <c r="AK21" i="3"/>
  <c r="AK52" i="9"/>
  <c r="AD34" i="10"/>
  <c r="AE19" i="11" s="1"/>
  <c r="AE27" i="11"/>
  <c r="AM15" i="7"/>
  <c r="AM13" i="7" s="1"/>
  <c r="AM18" i="7" s="1"/>
  <c r="AM7" i="3" s="1"/>
  <c r="AN14" i="7"/>
  <c r="AG18" i="9"/>
  <c r="AG20" i="9" s="1"/>
  <c r="AZ68" i="7"/>
  <c r="AZ50" i="7"/>
  <c r="BA34" i="7"/>
  <c r="AX44" i="7"/>
  <c r="AY28" i="7"/>
  <c r="AX62" i="7"/>
  <c r="AW42" i="7"/>
  <c r="AX26" i="7"/>
  <c r="AW60" i="7"/>
  <c r="AF35" i="9"/>
  <c r="AF38" i="9" s="1"/>
  <c r="AG25" i="11" s="1"/>
  <c r="AF28" i="9"/>
  <c r="AF45" i="9" s="1"/>
  <c r="AF49" i="9" s="1"/>
  <c r="AF47" i="9" s="1"/>
  <c r="AF6" i="10"/>
  <c r="AF10" i="10" s="1"/>
  <c r="AF14" i="10" s="1"/>
  <c r="AF32" i="9"/>
  <c r="AP7" i="10"/>
  <c r="AP36" i="9"/>
  <c r="AU59" i="7"/>
  <c r="AU41" i="7"/>
  <c r="AV25" i="7"/>
  <c r="AR69" i="7"/>
  <c r="AK24" i="9"/>
  <c r="AK9" i="10" s="1"/>
  <c r="AK3" i="9"/>
  <c r="AX48" i="7"/>
  <c r="AY32" i="7"/>
  <c r="AX66" i="7"/>
  <c r="AQ72" i="7"/>
  <c r="AQ75" i="7"/>
  <c r="AQ77" i="7" s="1"/>
  <c r="AQ78" i="7" s="1"/>
  <c r="AQ17" i="9" s="1"/>
  <c r="AQ8" i="10" s="1"/>
  <c r="AT58" i="7"/>
  <c r="AU24" i="7"/>
  <c r="AT40" i="7"/>
  <c r="AH18" i="9"/>
  <c r="AH20" i="9" s="1"/>
  <c r="AS57" i="7"/>
  <c r="AS69" i="7" s="1"/>
  <c r="AT23" i="7"/>
  <c r="AS39" i="7"/>
  <c r="AS51" i="7" s="1"/>
  <c r="AS35" i="7"/>
  <c r="AS7" i="7" s="1"/>
  <c r="AU23" i="7" l="1"/>
  <c r="AT39" i="7"/>
  <c r="AT51" i="7" s="1"/>
  <c r="AT35" i="7"/>
  <c r="AT7" i="7" s="1"/>
  <c r="AT57" i="7"/>
  <c r="AU58" i="7"/>
  <c r="AU40" i="7"/>
  <c r="AV24" i="7"/>
  <c r="AP79" i="7"/>
  <c r="AO10" i="7"/>
  <c r="AO11" i="7" s="1"/>
  <c r="AS75" i="7"/>
  <c r="AS72" i="7"/>
  <c r="AY62" i="7"/>
  <c r="AY44" i="7"/>
  <c r="AZ28" i="7"/>
  <c r="AT63" i="7"/>
  <c r="AT45" i="7"/>
  <c r="AU29" i="7"/>
  <c r="AF27" i="11"/>
  <c r="AE34" i="10"/>
  <c r="AF19" i="11" s="1"/>
  <c r="AV41" i="7"/>
  <c r="AV59" i="7"/>
  <c r="AW25" i="7"/>
  <c r="AM9" i="3"/>
  <c r="AM16" i="3" s="1"/>
  <c r="AM18" i="3" s="1"/>
  <c r="AM30" i="9"/>
  <c r="AJ13" i="9"/>
  <c r="AJ16" i="9" s="1"/>
  <c r="AJ37" i="9" s="1"/>
  <c r="AK6" i="11"/>
  <c r="AJ31" i="10"/>
  <c r="AS14" i="3"/>
  <c r="AS11" i="9" s="1"/>
  <c r="AS13" i="3"/>
  <c r="AS14" i="9" s="1"/>
  <c r="AH32" i="9"/>
  <c r="AH28" i="9"/>
  <c r="AH45" i="9" s="1"/>
  <c r="AH49" i="9" s="1"/>
  <c r="AH47" i="9" s="1"/>
  <c r="AH35" i="9"/>
  <c r="AH38" i="9" s="1"/>
  <c r="AI25" i="11" s="1"/>
  <c r="AH6" i="10"/>
  <c r="AH10" i="10" s="1"/>
  <c r="AH14" i="10" s="1"/>
  <c r="AG17" i="11"/>
  <c r="AF21" i="10"/>
  <c r="AF19" i="10"/>
  <c r="AF30" i="10"/>
  <c r="AF32" i="10" s="1"/>
  <c r="AY26" i="7"/>
  <c r="AX42" i="7"/>
  <c r="AX60" i="7"/>
  <c r="AG6" i="10"/>
  <c r="AG10" i="10" s="1"/>
  <c r="AG14" i="10" s="1"/>
  <c r="AG28" i="9"/>
  <c r="AG45" i="9" s="1"/>
  <c r="AG49" i="9" s="1"/>
  <c r="AG47" i="9" s="1"/>
  <c r="AG32" i="9"/>
  <c r="AG35" i="9"/>
  <c r="AG38" i="9" s="1"/>
  <c r="AH25" i="11" s="1"/>
  <c r="BA33" i="7"/>
  <c r="AZ49" i="7"/>
  <c r="AZ67" i="7"/>
  <c r="AX61" i="7"/>
  <c r="AX43" i="7"/>
  <c r="AY27" i="7"/>
  <c r="AR36" i="9"/>
  <c r="AR7" i="10"/>
  <c r="AJ37" i="11"/>
  <c r="AJ38" i="11" s="1"/>
  <c r="AJ39" i="11" s="1"/>
  <c r="AJ40" i="11" s="1"/>
  <c r="AJ42" i="11" s="1"/>
  <c r="AJ8" i="11"/>
  <c r="AY30" i="7"/>
  <c r="AX64" i="7"/>
  <c r="AX46" i="7"/>
  <c r="AL3" i="9"/>
  <c r="AL24" i="9"/>
  <c r="AL9" i="10" s="1"/>
  <c r="AS76" i="7"/>
  <c r="AS15" i="3"/>
  <c r="AS12" i="9" s="1"/>
  <c r="AS53" i="7"/>
  <c r="AS8" i="7" s="1"/>
  <c r="AS9" i="7" s="1"/>
  <c r="AY66" i="7"/>
  <c r="AY48" i="7"/>
  <c r="AZ32" i="7"/>
  <c r="AR72" i="7"/>
  <c r="AR75" i="7"/>
  <c r="AR77" i="7" s="1"/>
  <c r="AR78" i="7" s="1"/>
  <c r="AR17" i="9" s="1"/>
  <c r="AR8" i="10" s="1"/>
  <c r="BB34" i="7"/>
  <c r="BA50" i="7"/>
  <c r="BA68" i="7"/>
  <c r="AK56" i="9"/>
  <c r="AK6" i="9" s="1"/>
  <c r="AL53" i="9"/>
  <c r="AM54" i="9" s="1"/>
  <c r="AH43" i="11"/>
  <c r="AI44" i="11"/>
  <c r="AK44" i="11"/>
  <c r="AJ43" i="11"/>
  <c r="AO14" i="7"/>
  <c r="AN15" i="7"/>
  <c r="AN13" i="7" s="1"/>
  <c r="AN18" i="7" s="1"/>
  <c r="AN7" i="3" s="1"/>
  <c r="AY65" i="7"/>
  <c r="AY47" i="7"/>
  <c r="AZ31" i="7"/>
  <c r="AI16" i="9"/>
  <c r="AI37" i="9" s="1"/>
  <c r="AL21" i="3"/>
  <c r="AL52" i="9"/>
  <c r="AT15" i="3" l="1"/>
  <c r="AT12" i="9" s="1"/>
  <c r="AT76" i="7"/>
  <c r="AT53" i="7"/>
  <c r="AT8" i="7" s="1"/>
  <c r="AT9" i="7" s="1"/>
  <c r="AI18" i="9"/>
  <c r="AI20" i="9" s="1"/>
  <c r="AK13" i="9"/>
  <c r="AL6" i="11"/>
  <c r="AK31" i="10"/>
  <c r="AS36" i="9"/>
  <c r="AS7" i="10"/>
  <c r="AK43" i="11"/>
  <c r="AL44" i="11"/>
  <c r="BB33" i="7"/>
  <c r="BA67" i="7"/>
  <c r="BA49" i="7"/>
  <c r="AH17" i="11"/>
  <c r="AG21" i="10"/>
  <c r="AG19" i="10"/>
  <c r="AG30" i="10"/>
  <c r="AG32" i="10" s="1"/>
  <c r="AG27" i="11"/>
  <c r="AF34" i="10"/>
  <c r="AG19" i="11" s="1"/>
  <c r="AI17" i="11"/>
  <c r="AH30" i="10"/>
  <c r="AH32" i="10" s="1"/>
  <c r="AH21" i="10"/>
  <c r="AH19" i="10"/>
  <c r="AX25" i="7"/>
  <c r="AW41" i="7"/>
  <c r="AW59" i="7"/>
  <c r="AP14" i="7"/>
  <c r="AO15" i="7"/>
  <c r="AV23" i="7"/>
  <c r="AU35" i="7"/>
  <c r="AU7" i="7" s="1"/>
  <c r="AU39" i="7"/>
  <c r="AU57" i="7"/>
  <c r="AY43" i="7"/>
  <c r="AZ27" i="7"/>
  <c r="AY61" i="7"/>
  <c r="AZ26" i="7"/>
  <c r="AY60" i="7"/>
  <c r="AY42" i="7"/>
  <c r="AK37" i="11"/>
  <c r="AK38" i="11" s="1"/>
  <c r="AK39" i="11" s="1"/>
  <c r="AK40" i="11" s="1"/>
  <c r="AK42" i="11" s="1"/>
  <c r="AK8" i="11"/>
  <c r="AU63" i="7"/>
  <c r="AU45" i="7"/>
  <c r="AV29" i="7"/>
  <c r="AN30" i="9"/>
  <c r="AN9" i="3"/>
  <c r="AN16" i="3" s="1"/>
  <c r="AN18" i="3" s="1"/>
  <c r="AS77" i="7"/>
  <c r="AS78" i="7" s="1"/>
  <c r="AS17" i="9" s="1"/>
  <c r="AS8" i="10" s="1"/>
  <c r="AJ18" i="9"/>
  <c r="AJ20" i="9" s="1"/>
  <c r="AP10" i="7"/>
  <c r="AP11" i="7" s="1"/>
  <c r="AQ79" i="7"/>
  <c r="AT69" i="7"/>
  <c r="BB50" i="7"/>
  <c r="BC34" i="7"/>
  <c r="BB68" i="7"/>
  <c r="AZ48" i="7"/>
  <c r="BA32" i="7"/>
  <c r="AZ66" i="7"/>
  <c r="AM21" i="3"/>
  <c r="AM52" i="9"/>
  <c r="AZ62" i="7"/>
  <c r="BA28" i="7"/>
  <c r="AZ44" i="7"/>
  <c r="AL56" i="9"/>
  <c r="AL6" i="9" s="1"/>
  <c r="AM53" i="9"/>
  <c r="AN54" i="9" s="1"/>
  <c r="AZ47" i="7"/>
  <c r="AZ65" i="7"/>
  <c r="BA31" i="7"/>
  <c r="AO13" i="7"/>
  <c r="AO18" i="7" s="1"/>
  <c r="AO7" i="3" s="1"/>
  <c r="AY64" i="7"/>
  <c r="AY46" i="7"/>
  <c r="AZ30" i="7"/>
  <c r="AM24" i="9"/>
  <c r="AM9" i="10" s="1"/>
  <c r="AM3" i="9"/>
  <c r="AV58" i="7"/>
  <c r="AW24" i="7"/>
  <c r="AV40" i="7"/>
  <c r="AT14" i="3"/>
  <c r="AT11" i="9" s="1"/>
  <c r="AT13" i="3"/>
  <c r="AT14" i="9" s="1"/>
  <c r="AN53" i="9" l="1"/>
  <c r="AO54" i="9" s="1"/>
  <c r="AM56" i="9"/>
  <c r="AM6" i="9" s="1"/>
  <c r="AV35" i="7"/>
  <c r="AV7" i="7" s="1"/>
  <c r="AW23" i="7"/>
  <c r="AV57" i="7"/>
  <c r="AV39" i="7"/>
  <c r="AL37" i="11"/>
  <c r="AL38" i="11" s="1"/>
  <c r="AL39" i="11" s="1"/>
  <c r="AL40" i="11" s="1"/>
  <c r="AL42" i="11" s="1"/>
  <c r="AL8" i="11"/>
  <c r="AT75" i="7"/>
  <c r="AT77" i="7" s="1"/>
  <c r="AT78" i="7" s="1"/>
  <c r="AT17" i="9" s="1"/>
  <c r="AT8" i="10" s="1"/>
  <c r="AT72" i="7"/>
  <c r="AJ35" i="9"/>
  <c r="AJ38" i="9" s="1"/>
  <c r="AK25" i="11" s="1"/>
  <c r="AJ32" i="9"/>
  <c r="AJ6" i="10"/>
  <c r="AJ10" i="10" s="1"/>
  <c r="AJ14" i="10" s="1"/>
  <c r="AJ28" i="9"/>
  <c r="AJ45" i="9" s="1"/>
  <c r="AJ49" i="9" s="1"/>
  <c r="AJ47" i="9" s="1"/>
  <c r="AN24" i="9"/>
  <c r="AN9" i="10" s="1"/>
  <c r="AN3" i="9"/>
  <c r="AZ60" i="7"/>
  <c r="BA26" i="7"/>
  <c r="AZ42" i="7"/>
  <c r="AU69" i="7"/>
  <c r="AX59" i="7"/>
  <c r="AY25" i="7"/>
  <c r="AX41" i="7"/>
  <c r="AK16" i="9"/>
  <c r="AK37" i="9" s="1"/>
  <c r="AK18" i="9"/>
  <c r="AK20" i="9" s="1"/>
  <c r="AN52" i="9"/>
  <c r="AN21" i="3"/>
  <c r="AI27" i="11"/>
  <c r="AH34" i="10"/>
  <c r="AI19" i="11" s="1"/>
  <c r="AH27" i="11"/>
  <c r="AG34" i="10"/>
  <c r="AH19" i="11" s="1"/>
  <c r="AW58" i="7"/>
  <c r="AX24" i="7"/>
  <c r="AW40" i="7"/>
  <c r="BA30" i="7"/>
  <c r="AZ64" i="7"/>
  <c r="AZ46" i="7"/>
  <c r="AO30" i="9"/>
  <c r="AO9" i="3"/>
  <c r="AO16" i="3" s="1"/>
  <c r="AO18" i="3" s="1"/>
  <c r="BA62" i="7"/>
  <c r="BB28" i="7"/>
  <c r="BA44" i="7"/>
  <c r="BC50" i="7"/>
  <c r="BC68" i="7"/>
  <c r="BD34" i="7"/>
  <c r="AQ10" i="7"/>
  <c r="AQ11" i="7" s="1"/>
  <c r="AR79" i="7"/>
  <c r="AV63" i="7"/>
  <c r="AV45" i="7"/>
  <c r="AW29" i="7"/>
  <c r="AL43" i="11"/>
  <c r="AM44" i="11"/>
  <c r="AU51" i="7"/>
  <c r="BC33" i="7"/>
  <c r="BB49" i="7"/>
  <c r="BB67" i="7"/>
  <c r="AI35" i="9"/>
  <c r="AI38" i="9" s="1"/>
  <c r="AJ25" i="11" s="1"/>
  <c r="AI28" i="9"/>
  <c r="AI45" i="9" s="1"/>
  <c r="AI49" i="9" s="1"/>
  <c r="AI47" i="9" s="1"/>
  <c r="AI6" i="10"/>
  <c r="AI10" i="10" s="1"/>
  <c r="AI14" i="10" s="1"/>
  <c r="AI32" i="9"/>
  <c r="BA65" i="7"/>
  <c r="BB31" i="7"/>
  <c r="BA47" i="7"/>
  <c r="AL13" i="9"/>
  <c r="AL31" i="10"/>
  <c r="AM6" i="11"/>
  <c r="BA66" i="7"/>
  <c r="BA48" i="7"/>
  <c r="BB32" i="7"/>
  <c r="AP15" i="7"/>
  <c r="AP13" i="7" s="1"/>
  <c r="AP18" i="7" s="1"/>
  <c r="AP7" i="3" s="1"/>
  <c r="AQ14" i="7"/>
  <c r="AZ61" i="7"/>
  <c r="BA27" i="7"/>
  <c r="AZ43" i="7"/>
  <c r="AU13" i="3"/>
  <c r="AU14" i="9" s="1"/>
  <c r="AU14" i="3"/>
  <c r="AU11" i="9" s="1"/>
  <c r="AT7" i="10"/>
  <c r="AT36" i="9"/>
  <c r="AP9" i="3" l="1"/>
  <c r="AP16" i="3" s="1"/>
  <c r="AP18" i="3" s="1"/>
  <c r="AP30" i="9"/>
  <c r="AI21" i="10"/>
  <c r="AJ17" i="11"/>
  <c r="AI19" i="10"/>
  <c r="AI30" i="10"/>
  <c r="AI32" i="10" s="1"/>
  <c r="AW39" i="7"/>
  <c r="AW51" i="7" s="1"/>
  <c r="AW57" i="7"/>
  <c r="AW35" i="7"/>
  <c r="AW7" i="7" s="1"/>
  <c r="AX23" i="7"/>
  <c r="AM8" i="11"/>
  <c r="AM37" i="11"/>
  <c r="BB65" i="7"/>
  <c r="BB47" i="7"/>
  <c r="BC31" i="7"/>
  <c r="BD33" i="7"/>
  <c r="BC49" i="7"/>
  <c r="BC67" i="7"/>
  <c r="AR10" i="7"/>
  <c r="AR11" i="7" s="1"/>
  <c r="AS79" i="7"/>
  <c r="AO52" i="9"/>
  <c r="AO21" i="3"/>
  <c r="BB30" i="7"/>
  <c r="BA64" i="7"/>
  <c r="BA46" i="7"/>
  <c r="AU75" i="7"/>
  <c r="AU72" i="7"/>
  <c r="AM43" i="11"/>
  <c r="AN44" i="11"/>
  <c r="AV14" i="3"/>
  <c r="AV11" i="9" s="1"/>
  <c r="AV13" i="3"/>
  <c r="AV14" i="9" s="1"/>
  <c r="AK32" i="9"/>
  <c r="AK6" i="10"/>
  <c r="AK10" i="10" s="1"/>
  <c r="AK14" i="10" s="1"/>
  <c r="AK35" i="9"/>
  <c r="AK38" i="9" s="1"/>
  <c r="AL25" i="11" s="1"/>
  <c r="AK28" i="9"/>
  <c r="AK45" i="9" s="1"/>
  <c r="AK49" i="9" s="1"/>
  <c r="AK47" i="9" s="1"/>
  <c r="AK17" i="11"/>
  <c r="AJ21" i="10"/>
  <c r="AJ19" i="10"/>
  <c r="AJ30" i="10"/>
  <c r="AJ32" i="10" s="1"/>
  <c r="BB27" i="7"/>
  <c r="BA43" i="7"/>
  <c r="BA61" i="7"/>
  <c r="BB66" i="7"/>
  <c r="BC32" i="7"/>
  <c r="BB48" i="7"/>
  <c r="AW63" i="7"/>
  <c r="AW45" i="7"/>
  <c r="AX29" i="7"/>
  <c r="AR14" i="7"/>
  <c r="AQ15" i="7"/>
  <c r="AO24" i="9"/>
  <c r="AO9" i="10" s="1"/>
  <c r="AO3" i="9"/>
  <c r="AN56" i="9"/>
  <c r="AN6" i="9" s="1"/>
  <c r="AO53" i="9"/>
  <c r="AP54" i="9" s="1"/>
  <c r="AV51" i="7"/>
  <c r="AM13" i="9"/>
  <c r="AM31" i="10"/>
  <c r="AN6" i="11"/>
  <c r="AQ13" i="7"/>
  <c r="AQ18" i="7" s="1"/>
  <c r="AQ7" i="3" s="1"/>
  <c r="AL16" i="9"/>
  <c r="AL37" i="9" s="1"/>
  <c r="AL18" i="9"/>
  <c r="AL20" i="9" s="1"/>
  <c r="AU76" i="7"/>
  <c r="AU15" i="3"/>
  <c r="AU12" i="9" s="1"/>
  <c r="AU53" i="7"/>
  <c r="AU8" i="7" s="1"/>
  <c r="AU9" i="7" s="1"/>
  <c r="BE34" i="7"/>
  <c r="BD50" i="7"/>
  <c r="BD68" i="7"/>
  <c r="BC28" i="7"/>
  <c r="BB62" i="7"/>
  <c r="BB44" i="7"/>
  <c r="AX58" i="7"/>
  <c r="AX40" i="7"/>
  <c r="AY24" i="7"/>
  <c r="AY41" i="7"/>
  <c r="AY59" i="7"/>
  <c r="AZ25" i="7"/>
  <c r="BA42" i="7"/>
  <c r="BA60" i="7"/>
  <c r="BB26" i="7"/>
  <c r="AV69" i="7"/>
  <c r="AW76" i="7" l="1"/>
  <c r="AW15" i="3"/>
  <c r="AW12" i="9" s="1"/>
  <c r="AW53" i="7"/>
  <c r="AW8" i="7" s="1"/>
  <c r="AW9" i="7" s="1"/>
  <c r="AZ59" i="7"/>
  <c r="BA25" i="7"/>
  <c r="AZ41" i="7"/>
  <c r="BC62" i="7"/>
  <c r="BD28" i="7"/>
  <c r="BC44" i="7"/>
  <c r="AQ30" i="9"/>
  <c r="AQ9" i="3"/>
  <c r="AQ16" i="3" s="1"/>
  <c r="AQ18" i="3" s="1"/>
  <c r="AV53" i="7"/>
  <c r="AV8" i="7" s="1"/>
  <c r="AV9" i="7" s="1"/>
  <c r="AV76" i="7"/>
  <c r="AV77" i="7" s="1"/>
  <c r="AV78" i="7" s="1"/>
  <c r="AV17" i="9" s="1"/>
  <c r="AV8" i="10" s="1"/>
  <c r="AV15" i="3"/>
  <c r="AV12" i="9" s="1"/>
  <c r="AX63" i="7"/>
  <c r="AX45" i="7"/>
  <c r="AY29" i="7"/>
  <c r="BD32" i="7"/>
  <c r="BC66" i="7"/>
  <c r="BC48" i="7"/>
  <c r="BC27" i="7"/>
  <c r="BB43" i="7"/>
  <c r="BB61" i="7"/>
  <c r="AU77" i="7"/>
  <c r="AU78" i="7" s="1"/>
  <c r="AU17" i="9" s="1"/>
  <c r="AU8" i="10" s="1"/>
  <c r="AX39" i="7"/>
  <c r="AY23" i="7"/>
  <c r="AX57" i="7"/>
  <c r="AX69" i="7" s="1"/>
  <c r="AX35" i="7"/>
  <c r="AX7" i="7" s="1"/>
  <c r="AJ27" i="11"/>
  <c r="AI34" i="10"/>
  <c r="AJ19" i="11" s="1"/>
  <c r="AP24" i="9"/>
  <c r="AP9" i="10" s="1"/>
  <c r="AP3" i="9"/>
  <c r="AY58" i="7"/>
  <c r="AZ24" i="7"/>
  <c r="AY40" i="7"/>
  <c r="AU7" i="10"/>
  <c r="AU36" i="9"/>
  <c r="AM16" i="9"/>
  <c r="AM37" i="9" s="1"/>
  <c r="AM18" i="9"/>
  <c r="AM20" i="9" s="1"/>
  <c r="BC30" i="7"/>
  <c r="BB46" i="7"/>
  <c r="BB64" i="7"/>
  <c r="BC47" i="7"/>
  <c r="BC65" i="7"/>
  <c r="BD31" i="7"/>
  <c r="BC26" i="7"/>
  <c r="BB42" i="7"/>
  <c r="BB60" i="7"/>
  <c r="AL28" i="9"/>
  <c r="AL45" i="9" s="1"/>
  <c r="AL49" i="9" s="1"/>
  <c r="AL47" i="9" s="1"/>
  <c r="AL6" i="10"/>
  <c r="AL10" i="10" s="1"/>
  <c r="AL14" i="10" s="1"/>
  <c r="AL35" i="9"/>
  <c r="AL38" i="9" s="1"/>
  <c r="AM25" i="11" s="1"/>
  <c r="AL32" i="9"/>
  <c r="AN8" i="11"/>
  <c r="AN37" i="11"/>
  <c r="AN38" i="11" s="1"/>
  <c r="AN39" i="11" s="1"/>
  <c r="AN40" i="11" s="1"/>
  <c r="AN42" i="11" s="1"/>
  <c r="AJ34" i="10"/>
  <c r="AK19" i="11" s="1"/>
  <c r="AK27" i="11"/>
  <c r="AP53" i="9"/>
  <c r="AQ54" i="9" s="1"/>
  <c r="AO56" i="9"/>
  <c r="AO6" i="9" s="1"/>
  <c r="AW13" i="3"/>
  <c r="AW14" i="9" s="1"/>
  <c r="AW14" i="3"/>
  <c r="AW11" i="9" s="1"/>
  <c r="AP21" i="3"/>
  <c r="AP52" i="9"/>
  <c r="BE68" i="7"/>
  <c r="BF34" i="7"/>
  <c r="BE50" i="7"/>
  <c r="AN13" i="9"/>
  <c r="AO6" i="11"/>
  <c r="AN31" i="10"/>
  <c r="AR13" i="7"/>
  <c r="AR18" i="7" s="1"/>
  <c r="AR7" i="3" s="1"/>
  <c r="AK21" i="10"/>
  <c r="AK30" i="10"/>
  <c r="AK32" i="10" s="1"/>
  <c r="AL17" i="11"/>
  <c r="AK19" i="10"/>
  <c r="AR15" i="7"/>
  <c r="AS14" i="7"/>
  <c r="AV75" i="7"/>
  <c r="AV72" i="7"/>
  <c r="AS10" i="7"/>
  <c r="AS11" i="7" s="1"/>
  <c r="AT79" i="7"/>
  <c r="BE33" i="7"/>
  <c r="BD49" i="7"/>
  <c r="BD67" i="7"/>
  <c r="AM38" i="11"/>
  <c r="AM39" i="11" s="1"/>
  <c r="AW69" i="7"/>
  <c r="AT10" i="7" l="1"/>
  <c r="AT11" i="7" s="1"/>
  <c r="AU79" i="7"/>
  <c r="AP44" i="11"/>
  <c r="AO43" i="11"/>
  <c r="AS15" i="7"/>
  <c r="AS13" i="7" s="1"/>
  <c r="AS18" i="7" s="1"/>
  <c r="AS7" i="3" s="1"/>
  <c r="AT14" i="7"/>
  <c r="BF50" i="7"/>
  <c r="BF68" i="7"/>
  <c r="BG34" i="7"/>
  <c r="AM32" i="9"/>
  <c r="AM35" i="9"/>
  <c r="AM38" i="9" s="1"/>
  <c r="AN25" i="11" s="1"/>
  <c r="AM28" i="9"/>
  <c r="AM45" i="9" s="1"/>
  <c r="AM49" i="9" s="1"/>
  <c r="AM47" i="9" s="1"/>
  <c r="AM6" i="10"/>
  <c r="AM10" i="10" s="1"/>
  <c r="AM14" i="10" s="1"/>
  <c r="AX75" i="7"/>
  <c r="AX72" i="7"/>
  <c r="AL21" i="10"/>
  <c r="AL19" i="10"/>
  <c r="AL30" i="10"/>
  <c r="AL32" i="10" s="1"/>
  <c r="AM17" i="11"/>
  <c r="AW75" i="7"/>
  <c r="AW77" i="7" s="1"/>
  <c r="AW78" i="7" s="1"/>
  <c r="AW17" i="9" s="1"/>
  <c r="AW8" i="10" s="1"/>
  <c r="AW72" i="7"/>
  <c r="AK34" i="10"/>
  <c r="AL19" i="11" s="1"/>
  <c r="AL27" i="11"/>
  <c r="AO8" i="11"/>
  <c r="AO37" i="11"/>
  <c r="AO38" i="11" s="1"/>
  <c r="AO39" i="11" s="1"/>
  <c r="AO40" i="11" s="1"/>
  <c r="AO42" i="11" s="1"/>
  <c r="BC42" i="7"/>
  <c r="BC60" i="7"/>
  <c r="BD26" i="7"/>
  <c r="AZ40" i="7"/>
  <c r="AZ58" i="7"/>
  <c r="BA24" i="7"/>
  <c r="AY57" i="7"/>
  <c r="AZ23" i="7"/>
  <c r="AY35" i="7"/>
  <c r="AY7" i="7" s="1"/>
  <c r="AY39" i="7"/>
  <c r="AY51" i="7" s="1"/>
  <c r="BD66" i="7"/>
  <c r="BE32" i="7"/>
  <c r="BD48" i="7"/>
  <c r="AQ52" i="9"/>
  <c r="AQ21" i="3"/>
  <c r="BA41" i="7"/>
  <c r="BB25" i="7"/>
  <c r="BA59" i="7"/>
  <c r="AR30" i="9"/>
  <c r="AR9" i="3"/>
  <c r="AR16" i="3" s="1"/>
  <c r="AR18" i="3" s="1"/>
  <c r="BC64" i="7"/>
  <c r="BC46" i="7"/>
  <c r="BD30" i="7"/>
  <c r="AX13" i="3"/>
  <c r="AX14" i="9" s="1"/>
  <c r="AX14" i="3"/>
  <c r="AX11" i="9" s="1"/>
  <c r="AM40" i="11"/>
  <c r="AM42" i="11" s="1"/>
  <c r="BF33" i="7"/>
  <c r="BE49" i="7"/>
  <c r="BE67" i="7"/>
  <c r="AN16" i="9"/>
  <c r="AN37" i="9" s="1"/>
  <c r="AQ53" i="9"/>
  <c r="AR54" i="9" s="1"/>
  <c r="AP56" i="9"/>
  <c r="AP6" i="9" s="1"/>
  <c r="AO31" i="10"/>
  <c r="AP6" i="11"/>
  <c r="AO13" i="9"/>
  <c r="AO16" i="9"/>
  <c r="AO37" i="9" s="1"/>
  <c r="BD47" i="7"/>
  <c r="BD65" i="7"/>
  <c r="BE31" i="7"/>
  <c r="AX51" i="7"/>
  <c r="BC61" i="7"/>
  <c r="BC43" i="7"/>
  <c r="BD27" i="7"/>
  <c r="AY63" i="7"/>
  <c r="AY45" i="7"/>
  <c r="AZ29" i="7"/>
  <c r="AV7" i="10"/>
  <c r="AV36" i="9"/>
  <c r="AQ3" i="9"/>
  <c r="AQ24" i="9"/>
  <c r="AQ9" i="10" s="1"/>
  <c r="BD62" i="7"/>
  <c r="BE28" i="7"/>
  <c r="BD44" i="7"/>
  <c r="AW7" i="10"/>
  <c r="AW36" i="9"/>
  <c r="BE62" i="7" l="1"/>
  <c r="BF28" i="7"/>
  <c r="BE44" i="7"/>
  <c r="AY76" i="7"/>
  <c r="AY15" i="3"/>
  <c r="AY12" i="9" s="1"/>
  <c r="AY53" i="7"/>
  <c r="AY8" i="7" s="1"/>
  <c r="AY9" i="7" s="1"/>
  <c r="BB24" i="7"/>
  <c r="BA40" i="7"/>
  <c r="BA58" i="7"/>
  <c r="AM30" i="10"/>
  <c r="AM32" i="10" s="1"/>
  <c r="AM19" i="10"/>
  <c r="AM21" i="10"/>
  <c r="AN17" i="11"/>
  <c r="BD43" i="7"/>
  <c r="BD61" i="7"/>
  <c r="BE27" i="7"/>
  <c r="BF31" i="7"/>
  <c r="BE47" i="7"/>
  <c r="BE65" i="7"/>
  <c r="AO18" i="9"/>
  <c r="AO20" i="9" s="1"/>
  <c r="AR52" i="9"/>
  <c r="AR21" i="3"/>
  <c r="BB41" i="7"/>
  <c r="BB59" i="7"/>
  <c r="BC25" i="7"/>
  <c r="AY14" i="3"/>
  <c r="AY11" i="9" s="1"/>
  <c r="AY13" i="3"/>
  <c r="AY14" i="9" s="1"/>
  <c r="BH34" i="7"/>
  <c r="BG68" i="7"/>
  <c r="BG50" i="7"/>
  <c r="AS30" i="9"/>
  <c r="AS9" i="3"/>
  <c r="AS16" i="3" s="1"/>
  <c r="AS18" i="3" s="1"/>
  <c r="AT15" i="7"/>
  <c r="AT13" i="7" s="1"/>
  <c r="AT18" i="7" s="1"/>
  <c r="AT7" i="3" s="1"/>
  <c r="AU14" i="7"/>
  <c r="AX76" i="7"/>
  <c r="AX15" i="3"/>
  <c r="AX12" i="9" s="1"/>
  <c r="AX53" i="7"/>
  <c r="AX8" i="7" s="1"/>
  <c r="AX9" i="7" s="1"/>
  <c r="AP31" i="10"/>
  <c r="AQ6" i="11"/>
  <c r="AP13" i="9"/>
  <c r="AR53" i="9"/>
  <c r="AS54" i="9" s="1"/>
  <c r="AQ56" i="9"/>
  <c r="AQ6" i="9" s="1"/>
  <c r="AU10" i="7"/>
  <c r="AU11" i="7" s="1"/>
  <c r="AV79" i="7"/>
  <c r="AZ63" i="7"/>
  <c r="AZ45" i="7"/>
  <c r="BA29" i="7"/>
  <c r="AP37" i="11"/>
  <c r="AP8" i="11"/>
  <c r="AN18" i="9"/>
  <c r="AN20" i="9" s="1"/>
  <c r="BG33" i="7"/>
  <c r="BF67" i="7"/>
  <c r="BF49" i="7"/>
  <c r="BD64" i="7"/>
  <c r="BE30" i="7"/>
  <c r="BD46" i="7"/>
  <c r="AR3" i="9"/>
  <c r="AR24" i="9"/>
  <c r="AR9" i="10" s="1"/>
  <c r="BE66" i="7"/>
  <c r="BE48" i="7"/>
  <c r="BF32" i="7"/>
  <c r="AZ35" i="7"/>
  <c r="AZ7" i="7" s="1"/>
  <c r="BA23" i="7"/>
  <c r="AZ39" i="7"/>
  <c r="AZ51" i="7" s="1"/>
  <c r="AZ57" i="7"/>
  <c r="AQ44" i="11"/>
  <c r="AP43" i="11"/>
  <c r="AO44" i="11"/>
  <c r="AN43" i="11"/>
  <c r="AY69" i="7"/>
  <c r="BE26" i="7"/>
  <c r="BD60" i="7"/>
  <c r="BD42" i="7"/>
  <c r="AL34" i="10"/>
  <c r="AM19" i="11" s="1"/>
  <c r="AM27" i="11"/>
  <c r="AX77" i="7"/>
  <c r="AX78" i="7" s="1"/>
  <c r="AX17" i="9" s="1"/>
  <c r="AX8" i="10" s="1"/>
  <c r="AT9" i="3" l="1"/>
  <c r="AT16" i="3" s="1"/>
  <c r="AT18" i="3" s="1"/>
  <c r="AT30" i="9"/>
  <c r="AV10" i="7"/>
  <c r="AV11" i="7" s="1"/>
  <c r="AW79" i="7"/>
  <c r="AS24" i="9"/>
  <c r="AS9" i="10" s="1"/>
  <c r="AS3" i="9"/>
  <c r="BE42" i="7"/>
  <c r="BE60" i="7"/>
  <c r="BF26" i="7"/>
  <c r="BB23" i="7"/>
  <c r="BA35" i="7"/>
  <c r="BA7" i="7" s="1"/>
  <c r="BA39" i="7"/>
  <c r="BA57" i="7"/>
  <c r="BE64" i="7"/>
  <c r="BE46" i="7"/>
  <c r="BF30" i="7"/>
  <c r="BH33" i="7"/>
  <c r="BG49" i="7"/>
  <c r="BG67" i="7"/>
  <c r="BA63" i="7"/>
  <c r="BA45" i="7"/>
  <c r="BB29" i="7"/>
  <c r="AV14" i="7"/>
  <c r="AU15" i="7"/>
  <c r="AU13" i="7" s="1"/>
  <c r="AU18" i="7" s="1"/>
  <c r="AU7" i="3" s="1"/>
  <c r="AP16" i="9"/>
  <c r="AP37" i="9" s="1"/>
  <c r="AP18" i="9"/>
  <c r="AP20" i="9" s="1"/>
  <c r="BB40" i="7"/>
  <c r="BB58" i="7"/>
  <c r="BC24" i="7"/>
  <c r="AZ53" i="7"/>
  <c r="AZ8" i="7" s="1"/>
  <c r="AZ9" i="7" s="1"/>
  <c r="AZ15" i="3"/>
  <c r="AZ12" i="9" s="1"/>
  <c r="AZ76" i="7"/>
  <c r="AP38" i="11"/>
  <c r="AP39" i="11" s="1"/>
  <c r="AP40" i="11"/>
  <c r="AP42" i="11" s="1"/>
  <c r="AY75" i="7"/>
  <c r="AY77" i="7" s="1"/>
  <c r="AY78" i="7" s="1"/>
  <c r="AY17" i="9" s="1"/>
  <c r="AY8" i="10" s="1"/>
  <c r="AY72" i="7"/>
  <c r="AZ14" i="3"/>
  <c r="AZ11" i="9" s="1"/>
  <c r="AZ13" i="3"/>
  <c r="AZ14" i="9" s="1"/>
  <c r="AN28" i="9"/>
  <c r="AN45" i="9" s="1"/>
  <c r="AN49" i="9" s="1"/>
  <c r="AN47" i="9" s="1"/>
  <c r="AN32" i="9"/>
  <c r="AN6" i="10"/>
  <c r="AN10" i="10" s="1"/>
  <c r="AN14" i="10" s="1"/>
  <c r="AN35" i="9"/>
  <c r="AN38" i="9" s="1"/>
  <c r="AO25" i="11" s="1"/>
  <c r="AQ31" i="10"/>
  <c r="AR6" i="11"/>
  <c r="AQ13" i="9"/>
  <c r="AQ16" i="9"/>
  <c r="AQ37" i="9" s="1"/>
  <c r="AQ37" i="11"/>
  <c r="AQ38" i="11" s="1"/>
  <c r="AQ39" i="11" s="1"/>
  <c r="AQ40" i="11" s="1"/>
  <c r="AQ42" i="11" s="1"/>
  <c r="AQ8" i="11"/>
  <c r="BC59" i="7"/>
  <c r="BD25" i="7"/>
  <c r="BC41" i="7"/>
  <c r="AS53" i="9"/>
  <c r="AT54" i="9" s="1"/>
  <c r="AR56" i="9"/>
  <c r="AR6" i="9" s="1"/>
  <c r="BF47" i="7"/>
  <c r="BG31" i="7"/>
  <c r="BF65" i="7"/>
  <c r="AN27" i="11"/>
  <c r="AM34" i="10"/>
  <c r="AN19" i="11" s="1"/>
  <c r="BF62" i="7"/>
  <c r="BG28" i="7"/>
  <c r="BF44" i="7"/>
  <c r="AZ69" i="7"/>
  <c r="BG32" i="7"/>
  <c r="BF66" i="7"/>
  <c r="BF48" i="7"/>
  <c r="AX7" i="10"/>
  <c r="AX36" i="9"/>
  <c r="AS52" i="9"/>
  <c r="AS21" i="3"/>
  <c r="BI34" i="7"/>
  <c r="BH50" i="7"/>
  <c r="BH68" i="7"/>
  <c r="AO35" i="9"/>
  <c r="AO38" i="9" s="1"/>
  <c r="AP25" i="11" s="1"/>
  <c r="AO6" i="10"/>
  <c r="AO10" i="10" s="1"/>
  <c r="AO14" i="10" s="1"/>
  <c r="AO28" i="9"/>
  <c r="AO45" i="9" s="1"/>
  <c r="AO49" i="9" s="1"/>
  <c r="AO47" i="9" s="1"/>
  <c r="AO32" i="9"/>
  <c r="BE61" i="7"/>
  <c r="BF27" i="7"/>
  <c r="BE43" i="7"/>
  <c r="AY36" i="9"/>
  <c r="AY7" i="10"/>
  <c r="D45" i="19"/>
  <c r="AU9" i="3" l="1"/>
  <c r="AU16" i="3" s="1"/>
  <c r="AU18" i="3" s="1"/>
  <c r="AU30" i="9"/>
  <c r="AR37" i="11"/>
  <c r="AR38" i="11" s="1"/>
  <c r="AR39" i="11" s="1"/>
  <c r="AR40" i="11" s="1"/>
  <c r="AR42" i="11" s="1"/>
  <c r="AR8" i="11"/>
  <c r="BB35" i="7"/>
  <c r="BB7" i="7" s="1"/>
  <c r="BB39" i="7"/>
  <c r="BC23" i="7"/>
  <c r="BB57" i="7"/>
  <c r="AZ75" i="7"/>
  <c r="AZ77" i="7" s="1"/>
  <c r="AZ78" i="7" s="1"/>
  <c r="AZ17" i="9" s="1"/>
  <c r="AZ8" i="10" s="1"/>
  <c r="AZ72" i="7"/>
  <c r="BD59" i="7"/>
  <c r="BE25" i="7"/>
  <c r="BD41" i="7"/>
  <c r="AS44" i="11"/>
  <c r="AR43" i="11"/>
  <c r="AR44" i="11"/>
  <c r="AQ43" i="11"/>
  <c r="AZ36" i="9"/>
  <c r="AZ7" i="10"/>
  <c r="BI33" i="7"/>
  <c r="BH67" i="7"/>
  <c r="BH49" i="7"/>
  <c r="BA69" i="7"/>
  <c r="BG26" i="7"/>
  <c r="BF60" i="7"/>
  <c r="BF42" i="7"/>
  <c r="AT3" i="9"/>
  <c r="AT24" i="9"/>
  <c r="AT9" i="10" s="1"/>
  <c r="BG47" i="7"/>
  <c r="BG65" i="7"/>
  <c r="BH31" i="7"/>
  <c r="BB63" i="7"/>
  <c r="BB45" i="7"/>
  <c r="BC29" i="7"/>
  <c r="AS6" i="11"/>
  <c r="AR13" i="9"/>
  <c r="AR31" i="10"/>
  <c r="BG30" i="7"/>
  <c r="BF64" i="7"/>
  <c r="BF46" i="7"/>
  <c r="BA51" i="7"/>
  <c r="AT52" i="9"/>
  <c r="AT21" i="3"/>
  <c r="AP35" i="9"/>
  <c r="AP38" i="9" s="1"/>
  <c r="AQ25" i="11" s="1"/>
  <c r="AP32" i="9"/>
  <c r="AP6" i="10"/>
  <c r="AP10" i="10" s="1"/>
  <c r="AP14" i="10" s="1"/>
  <c r="AP28" i="9"/>
  <c r="AP45" i="9" s="1"/>
  <c r="AP49" i="9" s="1"/>
  <c r="AP47" i="9" s="1"/>
  <c r="AW14" i="7"/>
  <c r="AV15" i="7"/>
  <c r="AV13" i="7" s="1"/>
  <c r="AV18" i="7" s="1"/>
  <c r="AV7" i="3" s="1"/>
  <c r="AT53" i="9"/>
  <c r="AU54" i="9" s="1"/>
  <c r="AS56" i="9"/>
  <c r="AS6" i="9" s="1"/>
  <c r="BG27" i="7"/>
  <c r="BF43" i="7"/>
  <c r="BF61" i="7"/>
  <c r="AP17" i="11"/>
  <c r="AO30" i="10"/>
  <c r="AO32" i="10" s="1"/>
  <c r="AO19" i="10"/>
  <c r="AO21" i="10"/>
  <c r="BI68" i="7"/>
  <c r="BJ34" i="7"/>
  <c r="BI50" i="7"/>
  <c r="BG66" i="7"/>
  <c r="BG48" i="7"/>
  <c r="BH32" i="7"/>
  <c r="BG44" i="7"/>
  <c r="BH28" i="7"/>
  <c r="BG62" i="7"/>
  <c r="AQ18" i="9"/>
  <c r="AQ20" i="9" s="1"/>
  <c r="AN21" i="10"/>
  <c r="AO17" i="11"/>
  <c r="AN19" i="10"/>
  <c r="AN30" i="10"/>
  <c r="AN32" i="10" s="1"/>
  <c r="BC40" i="7"/>
  <c r="BC58" i="7"/>
  <c r="BD24" i="7"/>
  <c r="BA14" i="3"/>
  <c r="BA11" i="9" s="1"/>
  <c r="BA13" i="3"/>
  <c r="BA14" i="9" s="1"/>
  <c r="AX79" i="7"/>
  <c r="AW10" i="7"/>
  <c r="AW11" i="7" s="1"/>
  <c r="D61" i="19"/>
  <c r="BE24" i="7" l="1"/>
  <c r="BD58" i="7"/>
  <c r="BD40" i="7"/>
  <c r="AV30" i="9"/>
  <c r="AV9" i="3"/>
  <c r="AV16" i="3" s="1"/>
  <c r="AV18" i="3" s="1"/>
  <c r="AX10" i="7"/>
  <c r="AX11" i="7" s="1"/>
  <c r="AY79" i="7"/>
  <c r="AO27" i="11"/>
  <c r="AN34" i="10"/>
  <c r="AO19" i="11" s="1"/>
  <c r="AQ35" i="9"/>
  <c r="AQ38" i="9" s="1"/>
  <c r="AR25" i="11" s="1"/>
  <c r="AQ32" i="9"/>
  <c r="AQ28" i="9"/>
  <c r="AQ45" i="9" s="1"/>
  <c r="AQ49" i="9" s="1"/>
  <c r="AQ47" i="9" s="1"/>
  <c r="AQ6" i="10"/>
  <c r="AQ10" i="10" s="1"/>
  <c r="AQ14" i="10" s="1"/>
  <c r="BI32" i="7"/>
  <c r="BH48" i="7"/>
  <c r="BH66" i="7"/>
  <c r="BJ50" i="7"/>
  <c r="BJ68" i="7"/>
  <c r="BK34" i="7"/>
  <c r="AO34" i="10"/>
  <c r="AP19" i="11" s="1"/>
  <c r="AP27" i="11"/>
  <c r="BG61" i="7"/>
  <c r="BH27" i="7"/>
  <c r="BG43" i="7"/>
  <c r="AR16" i="9"/>
  <c r="AR37" i="9" s="1"/>
  <c r="AR18" i="9"/>
  <c r="AR20" i="9" s="1"/>
  <c r="BH26" i="7"/>
  <c r="BG60" i="7"/>
  <c r="BG42" i="7"/>
  <c r="BJ33" i="7"/>
  <c r="BI49" i="7"/>
  <c r="BI67" i="7"/>
  <c r="BC57" i="7"/>
  <c r="BC35" i="7"/>
  <c r="BC7" i="7" s="1"/>
  <c r="BD23" i="7"/>
  <c r="BC39" i="7"/>
  <c r="AS43" i="11"/>
  <c r="AT44" i="11"/>
  <c r="BA76" i="7"/>
  <c r="BA15" i="3"/>
  <c r="BA12" i="9" s="1"/>
  <c r="BA53" i="7"/>
  <c r="BA8" i="7" s="1"/>
  <c r="BA9" i="7" s="1"/>
  <c r="AT6" i="11"/>
  <c r="AS31" i="10"/>
  <c r="AS13" i="9"/>
  <c r="AS16" i="9"/>
  <c r="AS37" i="9" s="1"/>
  <c r="AS37" i="11"/>
  <c r="AS38" i="11" s="1"/>
  <c r="AS39" i="11" s="1"/>
  <c r="AS40" i="11" s="1"/>
  <c r="AS42" i="11" s="1"/>
  <c r="AS8" i="11"/>
  <c r="BI31" i="7"/>
  <c r="BH47" i="7"/>
  <c r="BH65" i="7"/>
  <c r="BA75" i="7"/>
  <c r="BA77" i="7" s="1"/>
  <c r="BA78" i="7" s="1"/>
  <c r="BA17" i="9" s="1"/>
  <c r="BA8" i="10" s="1"/>
  <c r="BA72" i="7"/>
  <c r="BB51" i="7"/>
  <c r="AU3" i="9"/>
  <c r="AU24" i="9"/>
  <c r="AU9" i="10" s="1"/>
  <c r="AW15" i="7"/>
  <c r="AW13" i="7" s="1"/>
  <c r="AW18" i="7" s="1"/>
  <c r="AW7" i="3" s="1"/>
  <c r="AX14" i="7"/>
  <c r="BB69" i="7"/>
  <c r="BH62" i="7"/>
  <c r="BH44" i="7"/>
  <c r="BI28" i="7"/>
  <c r="AP21" i="10"/>
  <c r="AQ17" i="11"/>
  <c r="AP30" i="10"/>
  <c r="AP32" i="10" s="1"/>
  <c r="AP19" i="10"/>
  <c r="AU53" i="9"/>
  <c r="AV54" i="9" s="1"/>
  <c r="AT56" i="9"/>
  <c r="AT6" i="9" s="1"/>
  <c r="BG46" i="7"/>
  <c r="BG64" i="7"/>
  <c r="BH30" i="7"/>
  <c r="BC63" i="7"/>
  <c r="BC45" i="7"/>
  <c r="BD29" i="7"/>
  <c r="BE41" i="7"/>
  <c r="BF25" i="7"/>
  <c r="BE59" i="7"/>
  <c r="BB13" i="3"/>
  <c r="BB14" i="9" s="1"/>
  <c r="BB14" i="3"/>
  <c r="BB11" i="9" s="1"/>
  <c r="AU21" i="3"/>
  <c r="AU52" i="9"/>
  <c r="D62" i="19"/>
  <c r="AW30" i="9" l="1"/>
  <c r="AW9" i="3"/>
  <c r="AW16" i="3" s="1"/>
  <c r="AW18" i="3" s="1"/>
  <c r="BB75" i="7"/>
  <c r="BB72" i="7"/>
  <c r="BC14" i="3"/>
  <c r="BC11" i="9" s="1"/>
  <c r="BC13" i="3"/>
  <c r="BC14" i="9" s="1"/>
  <c r="AR28" i="9"/>
  <c r="AR45" i="9" s="1"/>
  <c r="AR49" i="9" s="1"/>
  <c r="AR47" i="9" s="1"/>
  <c r="AR32" i="9"/>
  <c r="AR35" i="9"/>
  <c r="AR38" i="9" s="1"/>
  <c r="AS25" i="11" s="1"/>
  <c r="AR6" i="10"/>
  <c r="AR10" i="10" s="1"/>
  <c r="AR14" i="10" s="1"/>
  <c r="BF59" i="7"/>
  <c r="BF41" i="7"/>
  <c r="BG25" i="7"/>
  <c r="AT13" i="9"/>
  <c r="AU6" i="11"/>
  <c r="AT31" i="10"/>
  <c r="BI47" i="7"/>
  <c r="BI65" i="7"/>
  <c r="BJ31" i="7"/>
  <c r="BI48" i="7"/>
  <c r="BI66" i="7"/>
  <c r="BJ32" i="7"/>
  <c r="AY14" i="7"/>
  <c r="AX15" i="7"/>
  <c r="AX13" i="7" s="1"/>
  <c r="AX18" i="7" s="1"/>
  <c r="AX7" i="3" s="1"/>
  <c r="BH64" i="7"/>
  <c r="BI30" i="7"/>
  <c r="BH46" i="7"/>
  <c r="BA7" i="10"/>
  <c r="BA36" i="9"/>
  <c r="BC51" i="7"/>
  <c r="AR17" i="11"/>
  <c r="AQ21" i="10"/>
  <c r="AQ19" i="10"/>
  <c r="AQ30" i="10"/>
  <c r="AQ32" i="10" s="1"/>
  <c r="AV52" i="9"/>
  <c r="AV21" i="3"/>
  <c r="BE40" i="7"/>
  <c r="BF24" i="7"/>
  <c r="BE58" i="7"/>
  <c r="AV53" i="9"/>
  <c r="AW54" i="9" s="1"/>
  <c r="AU56" i="9"/>
  <c r="AU6" i="9" s="1"/>
  <c r="AP34" i="10"/>
  <c r="AQ19" i="11" s="1"/>
  <c r="AQ27" i="11"/>
  <c r="BK33" i="7"/>
  <c r="BJ49" i="7"/>
  <c r="BJ67" i="7"/>
  <c r="BH61" i="7"/>
  <c r="BI27" i="7"/>
  <c r="BH43" i="7"/>
  <c r="BK50" i="7"/>
  <c r="BL50" i="7" s="1"/>
  <c r="BM50" i="7" s="1"/>
  <c r="BK68" i="7"/>
  <c r="BL68" i="7" s="1"/>
  <c r="AY10" i="7"/>
  <c r="AY11" i="7" s="1"/>
  <c r="AZ79" i="7"/>
  <c r="BB76" i="7"/>
  <c r="BB15" i="3"/>
  <c r="BB12" i="9" s="1"/>
  <c r="BB53" i="7"/>
  <c r="BB8" i="7" s="1"/>
  <c r="BB9" i="7" s="1"/>
  <c r="AS18" i="9"/>
  <c r="AS20" i="9" s="1"/>
  <c r="BC69" i="7"/>
  <c r="BD63" i="7"/>
  <c r="BE29" i="7"/>
  <c r="BD45" i="7"/>
  <c r="BI62" i="7"/>
  <c r="BI44" i="7"/>
  <c r="BJ28" i="7"/>
  <c r="AT43" i="11"/>
  <c r="AU44" i="11"/>
  <c r="AT37" i="11"/>
  <c r="AT38" i="11" s="1"/>
  <c r="AT39" i="11" s="1"/>
  <c r="AT40" i="11" s="1"/>
  <c r="AT42" i="11" s="1"/>
  <c r="AT8" i="11"/>
  <c r="BD35" i="7"/>
  <c r="BD7" i="7" s="1"/>
  <c r="BD39" i="7"/>
  <c r="BE23" i="7"/>
  <c r="BD57" i="7"/>
  <c r="BD69" i="7" s="1"/>
  <c r="BH42" i="7"/>
  <c r="BH60" i="7"/>
  <c r="BI26" i="7"/>
  <c r="AV3" i="9"/>
  <c r="AV24" i="9"/>
  <c r="AV9" i="10" s="1"/>
  <c r="D56" i="19"/>
  <c r="AX9" i="3" l="1"/>
  <c r="AX16" i="3" s="1"/>
  <c r="AX18" i="3" s="1"/>
  <c r="AX30" i="9"/>
  <c r="BD75" i="7"/>
  <c r="BD72" i="7"/>
  <c r="AQ34" i="10"/>
  <c r="AR19" i="11" s="1"/>
  <c r="AR27" i="11"/>
  <c r="AT18" i="9"/>
  <c r="AT20" i="9" s="1"/>
  <c r="BE57" i="7"/>
  <c r="BE35" i="7"/>
  <c r="BE7" i="7" s="1"/>
  <c r="BE39" i="7"/>
  <c r="BF23" i="7"/>
  <c r="AS32" i="9"/>
  <c r="AS28" i="9"/>
  <c r="AS45" i="9" s="1"/>
  <c r="AS49" i="9" s="1"/>
  <c r="AS47" i="9" s="1"/>
  <c r="AS35" i="9"/>
  <c r="AS38" i="9" s="1"/>
  <c r="AT25" i="11" s="1"/>
  <c r="AS6" i="10"/>
  <c r="AS10" i="10" s="1"/>
  <c r="AS14" i="10" s="1"/>
  <c r="BI46" i="7"/>
  <c r="BJ30" i="7"/>
  <c r="BI64" i="7"/>
  <c r="BJ47" i="7"/>
  <c r="BJ65" i="7"/>
  <c r="BK31" i="7"/>
  <c r="AT16" i="9"/>
  <c r="AT37" i="9" s="1"/>
  <c r="BG41" i="7"/>
  <c r="BG59" i="7"/>
  <c r="BH25" i="7"/>
  <c r="BD51" i="7"/>
  <c r="AV44" i="11"/>
  <c r="AU43" i="11"/>
  <c r="BJ62" i="7"/>
  <c r="BK28" i="7"/>
  <c r="BJ44" i="7"/>
  <c r="BE63" i="7"/>
  <c r="BF29" i="7"/>
  <c r="BE45" i="7"/>
  <c r="AY15" i="7"/>
  <c r="AY13" i="7" s="1"/>
  <c r="AY18" i="7" s="1"/>
  <c r="AY7" i="3" s="1"/>
  <c r="AZ14" i="7"/>
  <c r="BJ27" i="7"/>
  <c r="BI43" i="7"/>
  <c r="BI61" i="7"/>
  <c r="BK49" i="7"/>
  <c r="BL49" i="7" s="1"/>
  <c r="BK67" i="7"/>
  <c r="BL67" i="7" s="1"/>
  <c r="BK32" i="7"/>
  <c r="BJ48" i="7"/>
  <c r="BJ66" i="7"/>
  <c r="AW21" i="3"/>
  <c r="AW52" i="9"/>
  <c r="BC75" i="7"/>
  <c r="BC77" i="7" s="1"/>
  <c r="BC78" i="7" s="1"/>
  <c r="BC17" i="9" s="1"/>
  <c r="BC8" i="10" s="1"/>
  <c r="BC72" i="7"/>
  <c r="BF58" i="7"/>
  <c r="BF40" i="7"/>
  <c r="BG24" i="7"/>
  <c r="BC15" i="3"/>
  <c r="BC12" i="9" s="1"/>
  <c r="BC76" i="7"/>
  <c r="BC53" i="7"/>
  <c r="BC8" i="7" s="1"/>
  <c r="BC9" i="7" s="1"/>
  <c r="AR19" i="10"/>
  <c r="AR30" i="10"/>
  <c r="AR32" i="10" s="1"/>
  <c r="AS17" i="11"/>
  <c r="AR21" i="10"/>
  <c r="BB77" i="7"/>
  <c r="BB78" i="7" s="1"/>
  <c r="BB17" i="9" s="1"/>
  <c r="BB8" i="10" s="1"/>
  <c r="BI60" i="7"/>
  <c r="BJ26" i="7"/>
  <c r="BI42" i="7"/>
  <c r="AZ10" i="7"/>
  <c r="AZ11" i="7" s="1"/>
  <c r="BA79" i="7"/>
  <c r="AU31" i="10"/>
  <c r="AU13" i="9"/>
  <c r="AV6" i="11"/>
  <c r="BB7" i="10"/>
  <c r="BB36" i="9"/>
  <c r="AV56" i="9"/>
  <c r="AV6" i="9" s="1"/>
  <c r="AW53" i="9"/>
  <c r="AX54" i="9" s="1"/>
  <c r="AU37" i="11"/>
  <c r="AU38" i="11" s="1"/>
  <c r="AU39" i="11" s="1"/>
  <c r="AU40" i="11" s="1"/>
  <c r="AU42" i="11" s="1"/>
  <c r="AU8" i="11"/>
  <c r="AW3" i="9"/>
  <c r="AW24" i="9"/>
  <c r="AW9" i="10" s="1"/>
  <c r="D40" i="19"/>
  <c r="D53" i="19"/>
  <c r="AY30" i="9" l="1"/>
  <c r="AY9" i="3"/>
  <c r="AY16" i="3" s="1"/>
  <c r="AY18" i="3" s="1"/>
  <c r="AW44" i="11"/>
  <c r="AV43" i="11"/>
  <c r="BJ60" i="7"/>
  <c r="BK26" i="7"/>
  <c r="BJ42" i="7"/>
  <c r="BG58" i="7"/>
  <c r="BH24" i="7"/>
  <c r="BG40" i="7"/>
  <c r="BF35" i="7"/>
  <c r="BF7" i="7" s="1"/>
  <c r="BF39" i="7"/>
  <c r="BF51" i="7" s="1"/>
  <c r="BG23" i="7"/>
  <c r="BF57" i="7"/>
  <c r="AX53" i="9"/>
  <c r="AY54" i="9" s="1"/>
  <c r="AW56" i="9"/>
  <c r="AW6" i="9" s="1"/>
  <c r="BK44" i="7"/>
  <c r="BL44" i="7" s="1"/>
  <c r="BM44" i="7" s="1"/>
  <c r="BK62" i="7"/>
  <c r="BL62" i="7" s="1"/>
  <c r="BD76" i="7"/>
  <c r="BD77" i="7" s="1"/>
  <c r="BD78" i="7" s="1"/>
  <c r="BD53" i="7"/>
  <c r="BD8" i="7" s="1"/>
  <c r="BD9" i="7" s="1"/>
  <c r="BK30" i="7"/>
  <c r="BJ64" i="7"/>
  <c r="BJ46" i="7"/>
  <c r="BE51" i="7"/>
  <c r="AX24" i="9"/>
  <c r="AX9" i="10" s="1"/>
  <c r="AX3" i="9"/>
  <c r="AV37" i="11"/>
  <c r="AV8" i="11"/>
  <c r="AZ15" i="7"/>
  <c r="BA14" i="7"/>
  <c r="BJ61" i="7"/>
  <c r="BJ43" i="7"/>
  <c r="BK27" i="7"/>
  <c r="BF63" i="7"/>
  <c r="BF45" i="7"/>
  <c r="BG29" i="7"/>
  <c r="AX21" i="3"/>
  <c r="AX52" i="9"/>
  <c r="BH59" i="7"/>
  <c r="BI25" i="7"/>
  <c r="BH41" i="7"/>
  <c r="BK65" i="7"/>
  <c r="BL65" i="7" s="1"/>
  <c r="BK47" i="7"/>
  <c r="BL47" i="7" s="1"/>
  <c r="AT28" i="9"/>
  <c r="AT45" i="9" s="1"/>
  <c r="AT49" i="9" s="1"/>
  <c r="AT47" i="9" s="1"/>
  <c r="AT6" i="10"/>
  <c r="AT10" i="10" s="1"/>
  <c r="AT14" i="10" s="1"/>
  <c r="AT35" i="9"/>
  <c r="AT38" i="9" s="1"/>
  <c r="AU25" i="11" s="1"/>
  <c r="AT32" i="9"/>
  <c r="BB79" i="7"/>
  <c r="BA10" i="7"/>
  <c r="BA11" i="7" s="1"/>
  <c r="AS27" i="11"/>
  <c r="AR34" i="10"/>
  <c r="AS19" i="11" s="1"/>
  <c r="BK66" i="7"/>
  <c r="BL66" i="7" s="1"/>
  <c r="BM49" i="7" s="1"/>
  <c r="BK48" i="7"/>
  <c r="BL48" i="7" s="1"/>
  <c r="BM48" i="7" s="1"/>
  <c r="AW6" i="11"/>
  <c r="AV13" i="9"/>
  <c r="AV31" i="10"/>
  <c r="AU16" i="9"/>
  <c r="AU37" i="9" s="1"/>
  <c r="AU18" i="9"/>
  <c r="AU20" i="9" s="1"/>
  <c r="BC7" i="10"/>
  <c r="BC36" i="9"/>
  <c r="AZ13" i="7"/>
  <c r="AZ18" i="7" s="1"/>
  <c r="AZ7" i="3" s="1"/>
  <c r="AT17" i="11"/>
  <c r="AS19" i="10"/>
  <c r="AS21" i="10"/>
  <c r="AS30" i="10"/>
  <c r="AS32" i="10" s="1"/>
  <c r="BE69" i="7"/>
  <c r="D47" i="19"/>
  <c r="D46" i="19"/>
  <c r="BB14" i="7" l="1"/>
  <c r="BA15" i="7"/>
  <c r="AT19" i="10"/>
  <c r="AU17" i="11"/>
  <c r="AT21" i="10"/>
  <c r="AT30" i="10"/>
  <c r="AT32" i="10" s="1"/>
  <c r="BK43" i="7"/>
  <c r="BL43" i="7" s="1"/>
  <c r="BK61" i="7"/>
  <c r="BL61" i="7" s="1"/>
  <c r="BK64" i="7"/>
  <c r="BL64" i="7" s="1"/>
  <c r="BK46" i="7"/>
  <c r="BL46" i="7" s="1"/>
  <c r="BM46" i="7" s="1"/>
  <c r="AU35" i="9"/>
  <c r="AU38" i="9" s="1"/>
  <c r="AV25" i="11" s="1"/>
  <c r="AU32" i="9"/>
  <c r="AU6" i="10"/>
  <c r="AU10" i="10" s="1"/>
  <c r="AU14" i="10" s="1"/>
  <c r="AU28" i="9"/>
  <c r="AU45" i="9" s="1"/>
  <c r="AU49" i="9" s="1"/>
  <c r="AU47" i="9" s="1"/>
  <c r="AW37" i="11"/>
  <c r="AW8" i="11"/>
  <c r="BA13" i="7"/>
  <c r="BA18" i="7" s="1"/>
  <c r="BA7" i="3" s="1"/>
  <c r="BF76" i="7"/>
  <c r="BF53" i="7"/>
  <c r="BF8" i="7" s="1"/>
  <c r="BF9" i="7" s="1"/>
  <c r="BE75" i="7"/>
  <c r="BE72" i="7"/>
  <c r="BC79" i="7"/>
  <c r="BB10" i="7"/>
  <c r="BB11" i="7" s="1"/>
  <c r="BJ25" i="7"/>
  <c r="BI41" i="7"/>
  <c r="BI59" i="7"/>
  <c r="BG63" i="7"/>
  <c r="BH29" i="7"/>
  <c r="BG45" i="7"/>
  <c r="BE76" i="7"/>
  <c r="BE53" i="7"/>
  <c r="BE8" i="7" s="1"/>
  <c r="BE9" i="7" s="1"/>
  <c r="BF69" i="7"/>
  <c r="BK60" i="7"/>
  <c r="BL60" i="7" s="1"/>
  <c r="BK42" i="7"/>
  <c r="BL42" i="7" s="1"/>
  <c r="AY52" i="9"/>
  <c r="AY21" i="3"/>
  <c r="AZ9" i="3"/>
  <c r="AZ16" i="3" s="1"/>
  <c r="AZ18" i="3" s="1"/>
  <c r="AZ30" i="9"/>
  <c r="AY53" i="9"/>
  <c r="AZ54" i="9" s="1"/>
  <c r="AX56" i="9"/>
  <c r="AX6" i="9" s="1"/>
  <c r="AS34" i="10"/>
  <c r="AT19" i="11" s="1"/>
  <c r="AT27" i="11"/>
  <c r="AV16" i="9"/>
  <c r="AV37" i="9" s="1"/>
  <c r="AV18" i="9"/>
  <c r="AV20" i="9" s="1"/>
  <c r="AV38" i="11"/>
  <c r="AV39" i="11" s="1"/>
  <c r="AW13" i="9"/>
  <c r="AW16" i="9"/>
  <c r="AW37" i="9" s="1"/>
  <c r="AX6" i="11"/>
  <c r="AW31" i="10"/>
  <c r="BG39" i="7"/>
  <c r="BG51" i="7" s="1"/>
  <c r="BH23" i="7"/>
  <c r="BG57" i="7"/>
  <c r="BG69" i="7" s="1"/>
  <c r="BG35" i="7"/>
  <c r="BG7" i="7" s="1"/>
  <c r="BI24" i="7"/>
  <c r="BH58" i="7"/>
  <c r="BH40" i="7"/>
  <c r="AY3" i="9"/>
  <c r="AY24" i="9"/>
  <c r="AY9" i="10" s="1"/>
  <c r="D48" i="19"/>
  <c r="D50" i="19" s="1"/>
  <c r="BG76" i="7" l="1"/>
  <c r="BG53" i="7"/>
  <c r="BG8" i="7" s="1"/>
  <c r="BG9" i="7" s="1"/>
  <c r="AX13" i="9"/>
  <c r="AX31" i="10"/>
  <c r="AY6" i="11"/>
  <c r="BB15" i="7"/>
  <c r="BC14" i="7"/>
  <c r="AW38" i="11"/>
  <c r="AW39" i="11" s="1"/>
  <c r="BM43" i="7"/>
  <c r="BH57" i="7"/>
  <c r="BH69" i="7" s="1"/>
  <c r="BI23" i="7"/>
  <c r="BH35" i="7"/>
  <c r="BH7" i="7" s="1"/>
  <c r="BH39" i="7"/>
  <c r="AZ21" i="3"/>
  <c r="AZ52" i="9"/>
  <c r="BJ41" i="7"/>
  <c r="BJ59" i="7"/>
  <c r="BK25" i="7"/>
  <c r="BI58" i="7"/>
  <c r="BJ24" i="7"/>
  <c r="BI40" i="7"/>
  <c r="AW18" i="9"/>
  <c r="AW20" i="9" s="1"/>
  <c r="AV28" i="9"/>
  <c r="AV45" i="9" s="1"/>
  <c r="AV49" i="9" s="1"/>
  <c r="AV47" i="9" s="1"/>
  <c r="AV32" i="9"/>
  <c r="AV35" i="9"/>
  <c r="AV38" i="9" s="1"/>
  <c r="AW25" i="11" s="1"/>
  <c r="AV6" i="10"/>
  <c r="AV10" i="10" s="1"/>
  <c r="AV14" i="10" s="1"/>
  <c r="AV40" i="11"/>
  <c r="AV42" i="11" s="1"/>
  <c r="AY56" i="9"/>
  <c r="AY6" i="9" s="1"/>
  <c r="AZ53" i="9"/>
  <c r="BA54" i="9" s="1"/>
  <c r="BF75" i="7"/>
  <c r="BF77" i="7" s="1"/>
  <c r="BF78" i="7" s="1"/>
  <c r="BF72" i="7"/>
  <c r="BE77" i="7"/>
  <c r="BE78" i="7" s="1"/>
  <c r="BC10" i="7"/>
  <c r="BC11" i="7" s="1"/>
  <c r="BD79" i="7"/>
  <c r="AU27" i="11"/>
  <c r="AT34" i="10"/>
  <c r="AU19" i="11" s="1"/>
  <c r="BH63" i="7"/>
  <c r="BH45" i="7"/>
  <c r="BI29" i="7"/>
  <c r="BG75" i="7"/>
  <c r="BG77" i="7" s="1"/>
  <c r="BG78" i="7" s="1"/>
  <c r="BG72" i="7"/>
  <c r="AX37" i="11"/>
  <c r="AX38" i="11" s="1"/>
  <c r="AX39" i="11" s="1"/>
  <c r="AX40" i="11" s="1"/>
  <c r="AX42" i="11" s="1"/>
  <c r="AX8" i="11"/>
  <c r="AZ24" i="9"/>
  <c r="AZ9" i="10" s="1"/>
  <c r="AZ3" i="9"/>
  <c r="BM42" i="7"/>
  <c r="BA9" i="3"/>
  <c r="BA16" i="3" s="1"/>
  <c r="BA18" i="3" s="1"/>
  <c r="BA30" i="9"/>
  <c r="AV17" i="11"/>
  <c r="AU19" i="10"/>
  <c r="AU30" i="10"/>
  <c r="AU32" i="10" s="1"/>
  <c r="AU21" i="10"/>
  <c r="BB13" i="7"/>
  <c r="BB18" i="7" s="1"/>
  <c r="BB7" i="3" s="1"/>
  <c r="D60" i="19"/>
  <c r="D63" i="19" s="1"/>
  <c r="D65" i="19" s="1"/>
  <c r="D51" i="19"/>
  <c r="D54" i="19" s="1"/>
  <c r="AV19" i="10" l="1"/>
  <c r="AV30" i="10"/>
  <c r="AV32" i="10" s="1"/>
  <c r="AV21" i="10"/>
  <c r="AW17" i="11"/>
  <c r="BC15" i="7"/>
  <c r="BD14" i="7"/>
  <c r="BH51" i="7"/>
  <c r="AW35" i="9"/>
  <c r="AW38" i="9" s="1"/>
  <c r="AX25" i="11" s="1"/>
  <c r="AW6" i="10"/>
  <c r="AW10" i="10" s="1"/>
  <c r="AW14" i="10" s="1"/>
  <c r="AW28" i="9"/>
  <c r="AW45" i="9" s="1"/>
  <c r="AW49" i="9" s="1"/>
  <c r="AW47" i="9" s="1"/>
  <c r="AW32" i="9"/>
  <c r="BK41" i="7"/>
  <c r="BL41" i="7" s="1"/>
  <c r="BK59" i="7"/>
  <c r="BL59" i="7" s="1"/>
  <c r="BB30" i="9"/>
  <c r="BB9" i="3"/>
  <c r="BB16" i="3" s="1"/>
  <c r="BB18" i="3" s="1"/>
  <c r="BA3" i="9"/>
  <c r="BA24" i="9"/>
  <c r="BA9" i="10" s="1"/>
  <c r="AY13" i="9"/>
  <c r="AZ6" i="11"/>
  <c r="AY31" i="10"/>
  <c r="BJ40" i="7"/>
  <c r="BK24" i="7"/>
  <c r="BJ58" i="7"/>
  <c r="AW40" i="11"/>
  <c r="AW42" i="11" s="1"/>
  <c r="AY37" i="11"/>
  <c r="AY38" i="11" s="1"/>
  <c r="AY39" i="11" s="1"/>
  <c r="AY40" i="11" s="1"/>
  <c r="AY42" i="11" s="1"/>
  <c r="AY8" i="11"/>
  <c r="AY43" i="11"/>
  <c r="AZ44" i="11"/>
  <c r="BD10" i="7"/>
  <c r="BD11" i="7" s="1"/>
  <c r="BE79" i="7"/>
  <c r="BH75" i="7"/>
  <c r="BH72" i="7"/>
  <c r="BC13" i="7"/>
  <c r="BC18" i="7" s="1"/>
  <c r="BC7" i="3" s="1"/>
  <c r="AV27" i="11"/>
  <c r="AU34" i="10"/>
  <c r="AV19" i="11" s="1"/>
  <c r="BA52" i="9"/>
  <c r="BA21" i="3"/>
  <c r="BI63" i="7"/>
  <c r="BI45" i="7"/>
  <c r="BJ29" i="7"/>
  <c r="AW43" i="11"/>
  <c r="AX44" i="11"/>
  <c r="AZ56" i="9"/>
  <c r="AZ6" i="9" s="1"/>
  <c r="BA53" i="9"/>
  <c r="BB54" i="9" s="1"/>
  <c r="BI57" i="7"/>
  <c r="BI69" i="7" s="1"/>
  <c r="BI35" i="7"/>
  <c r="BI7" i="7" s="1"/>
  <c r="BI39" i="7"/>
  <c r="BI51" i="7" s="1"/>
  <c r="BJ23" i="7"/>
  <c r="AX16" i="9"/>
  <c r="AX37" i="9" s="1"/>
  <c r="D10" i="19"/>
  <c r="D9" i="19"/>
  <c r="BA6" i="11" l="1"/>
  <c r="AZ13" i="9"/>
  <c r="AZ31" i="10"/>
  <c r="AZ8" i="11"/>
  <c r="AZ37" i="11"/>
  <c r="AZ38" i="11" s="1"/>
  <c r="AZ39" i="11" s="1"/>
  <c r="AZ40" i="11" s="1"/>
  <c r="AZ42" i="11" s="1"/>
  <c r="BB52" i="9"/>
  <c r="BB21" i="3"/>
  <c r="AX18" i="9"/>
  <c r="AX20" i="9" s="1"/>
  <c r="BF79" i="7"/>
  <c r="BE10" i="7"/>
  <c r="BE11" i="7" s="1"/>
  <c r="BK58" i="7"/>
  <c r="BL58" i="7" s="1"/>
  <c r="BK40" i="7"/>
  <c r="BL40" i="7" s="1"/>
  <c r="BM40" i="7" s="1"/>
  <c r="AY16" i="9"/>
  <c r="AY37" i="9" s="1"/>
  <c r="BB24" i="9"/>
  <c r="BB9" i="10" s="1"/>
  <c r="BB3" i="9"/>
  <c r="BH76" i="7"/>
  <c r="BH77" i="7" s="1"/>
  <c r="BH78" i="7" s="1"/>
  <c r="BH53" i="7"/>
  <c r="BH8" i="7" s="1"/>
  <c r="BH9" i="7" s="1"/>
  <c r="BI75" i="7"/>
  <c r="BI77" i="7" s="1"/>
  <c r="BI78" i="7" s="1"/>
  <c r="BI72" i="7"/>
  <c r="BC9" i="3"/>
  <c r="BC16" i="3" s="1"/>
  <c r="BC18" i="3" s="1"/>
  <c r="BC30" i="9"/>
  <c r="BD15" i="7"/>
  <c r="BD13" i="7" s="1"/>
  <c r="BD18" i="7" s="1"/>
  <c r="BE14" i="7"/>
  <c r="AZ43" i="11"/>
  <c r="BA44" i="11"/>
  <c r="AW21" i="10"/>
  <c r="AW30" i="10"/>
  <c r="AW32" i="10" s="1"/>
  <c r="AW19" i="10"/>
  <c r="AX17" i="11"/>
  <c r="AW27" i="11"/>
  <c r="AV34" i="10"/>
  <c r="AW19" i="11" s="1"/>
  <c r="BI53" i="7"/>
  <c r="BI8" i="7" s="1"/>
  <c r="BI9" i="7" s="1"/>
  <c r="BI76" i="7"/>
  <c r="BK23" i="7"/>
  <c r="BJ35" i="7"/>
  <c r="BJ7" i="7" s="1"/>
  <c r="BJ57" i="7"/>
  <c r="BJ39" i="7"/>
  <c r="BJ51" i="7" s="1"/>
  <c r="BJ63" i="7"/>
  <c r="BJ45" i="7"/>
  <c r="BK29" i="7"/>
  <c r="BB53" i="9"/>
  <c r="BC54" i="9" s="1"/>
  <c r="BA56" i="9"/>
  <c r="BA6" i="9" s="1"/>
  <c r="AY44" i="11"/>
  <c r="AX43" i="11"/>
  <c r="BM41" i="7"/>
  <c r="E64" i="19"/>
  <c r="BA13" i="9" l="1"/>
  <c r="BB6" i="11"/>
  <c r="BA31" i="10"/>
  <c r="BA16" i="9"/>
  <c r="BA37" i="9" s="1"/>
  <c r="BK39" i="7"/>
  <c r="BK35" i="7"/>
  <c r="BK7" i="7" s="1"/>
  <c r="BK57" i="7"/>
  <c r="BJ76" i="7"/>
  <c r="BJ53" i="7"/>
  <c r="BJ8" i="7" s="1"/>
  <c r="BJ9" i="7" s="1"/>
  <c r="BC24" i="9"/>
  <c r="BC9" i="10" s="1"/>
  <c r="BC3" i="9"/>
  <c r="C13" i="1" s="1"/>
  <c r="BJ69" i="7"/>
  <c r="BC52" i="9"/>
  <c r="BC56" i="9" s="1"/>
  <c r="BC6" i="9" s="1"/>
  <c r="BC21" i="3"/>
  <c r="AY18" i="9"/>
  <c r="AY20" i="9" s="1"/>
  <c r="BE15" i="7"/>
  <c r="BE13" i="7" s="1"/>
  <c r="BE18" i="7" s="1"/>
  <c r="BF14" i="7"/>
  <c r="BB56" i="9"/>
  <c r="BB6" i="9" s="1"/>
  <c r="BC53" i="9"/>
  <c r="AZ16" i="9"/>
  <c r="AZ37" i="9" s="1"/>
  <c r="AX28" i="9"/>
  <c r="AX45" i="9" s="1"/>
  <c r="AX49" i="9" s="1"/>
  <c r="AX47" i="9" s="1"/>
  <c r="AX6" i="10"/>
  <c r="AX10" i="10" s="1"/>
  <c r="AX14" i="10" s="1"/>
  <c r="AX32" i="9"/>
  <c r="AX35" i="9"/>
  <c r="AX38" i="9" s="1"/>
  <c r="AY25" i="11" s="1"/>
  <c r="BK63" i="7"/>
  <c r="BL63" i="7" s="1"/>
  <c r="BM47" i="7" s="1"/>
  <c r="BK45" i="7"/>
  <c r="BL45" i="7" s="1"/>
  <c r="BM45" i="7" s="1"/>
  <c r="AW34" i="10"/>
  <c r="AX19" i="11" s="1"/>
  <c r="AX27" i="11"/>
  <c r="BF10" i="7"/>
  <c r="BF11" i="7" s="1"/>
  <c r="BG79" i="7"/>
  <c r="BA43" i="11"/>
  <c r="BB44" i="11"/>
  <c r="BA8" i="11"/>
  <c r="BA37" i="11"/>
  <c r="BA38" i="11" s="1"/>
  <c r="BA39" i="11" s="1"/>
  <c r="BA40" i="11" s="1"/>
  <c r="BA42" i="11" s="1"/>
  <c r="G64" i="19"/>
  <c r="BK69" i="7" l="1"/>
  <c r="BL57" i="7"/>
  <c r="BL69" i="7" s="1"/>
  <c r="BG14" i="7"/>
  <c r="BF15" i="7"/>
  <c r="BF13" i="7" s="1"/>
  <c r="BF18" i="7" s="1"/>
  <c r="BJ72" i="7"/>
  <c r="BJ75" i="7"/>
  <c r="BJ77" i="7" s="1"/>
  <c r="BJ78" i="7" s="1"/>
  <c r="AY17" i="11"/>
  <c r="AX30" i="10"/>
  <c r="AX32" i="10" s="1"/>
  <c r="AX19" i="10"/>
  <c r="AX21" i="10"/>
  <c r="AY6" i="10"/>
  <c r="AY10" i="10" s="1"/>
  <c r="AY14" i="10" s="1"/>
  <c r="AY32" i="9"/>
  <c r="AY28" i="9"/>
  <c r="AY45" i="9" s="1"/>
  <c r="AY49" i="9" s="1"/>
  <c r="AY47" i="9" s="1"/>
  <c r="AY35" i="9"/>
  <c r="AY38" i="9" s="1"/>
  <c r="AZ25" i="11" s="1"/>
  <c r="BC6" i="11"/>
  <c r="BB31" i="10"/>
  <c r="BB13" i="9"/>
  <c r="BB16" i="9"/>
  <c r="BB37" i="9" s="1"/>
  <c r="BB8" i="11"/>
  <c r="BB37" i="11"/>
  <c r="BB43" i="11"/>
  <c r="BC44" i="11"/>
  <c r="BH79" i="7"/>
  <c r="BG10" i="7"/>
  <c r="BG11" i="7" s="1"/>
  <c r="AZ18" i="9"/>
  <c r="AZ20" i="9" s="1"/>
  <c r="BD6" i="11"/>
  <c r="BC13" i="9"/>
  <c r="BC31" i="10"/>
  <c r="BL39" i="7"/>
  <c r="BK51" i="7"/>
  <c r="BA18" i="9"/>
  <c r="BA20" i="9" s="1"/>
  <c r="F45" i="19"/>
  <c r="E45" i="19"/>
  <c r="BH10" i="7" l="1"/>
  <c r="BH11" i="7" s="1"/>
  <c r="BI79" i="7"/>
  <c r="BC8" i="11"/>
  <c r="BC37" i="11"/>
  <c r="AY30" i="10"/>
  <c r="AY32" i="10" s="1"/>
  <c r="AY21" i="10"/>
  <c r="AY19" i="10"/>
  <c r="AZ17" i="11"/>
  <c r="BA6" i="10"/>
  <c r="BA10" i="10" s="1"/>
  <c r="BA14" i="10" s="1"/>
  <c r="BA28" i="9"/>
  <c r="BA45" i="9" s="1"/>
  <c r="BA49" i="9" s="1"/>
  <c r="BA47" i="9" s="1"/>
  <c r="BA35" i="9"/>
  <c r="BA38" i="9" s="1"/>
  <c r="BB25" i="11" s="1"/>
  <c r="BA32" i="9"/>
  <c r="BL51" i="7"/>
  <c r="BM51" i="7" s="1"/>
  <c r="BM39" i="7"/>
  <c r="BD8" i="11"/>
  <c r="BD37" i="11"/>
  <c r="BD38" i="11" s="1"/>
  <c r="BD39" i="11" s="1"/>
  <c r="BD40" i="11" s="1"/>
  <c r="BD42" i="11" s="1"/>
  <c r="BG15" i="7"/>
  <c r="BG13" i="7" s="1"/>
  <c r="BG18" i="7" s="1"/>
  <c r="BH14" i="7"/>
  <c r="BB38" i="11"/>
  <c r="BB39" i="11" s="1"/>
  <c r="BB40" i="11" s="1"/>
  <c r="BB42" i="11" s="1"/>
  <c r="AX34" i="10"/>
  <c r="AY19" i="11" s="1"/>
  <c r="AY27" i="11"/>
  <c r="BK76" i="7"/>
  <c r="BK53" i="7"/>
  <c r="BK8" i="7" s="1"/>
  <c r="BK9" i="7" s="1"/>
  <c r="BC16" i="9"/>
  <c r="BC37" i="9" s="1"/>
  <c r="AZ35" i="9"/>
  <c r="AZ38" i="9" s="1"/>
  <c r="BA25" i="11" s="1"/>
  <c r="AZ32" i="9"/>
  <c r="AZ6" i="10"/>
  <c r="AZ10" i="10" s="1"/>
  <c r="AZ14" i="10" s="1"/>
  <c r="AZ28" i="9"/>
  <c r="AZ45" i="9" s="1"/>
  <c r="AZ49" i="9" s="1"/>
  <c r="AZ47" i="9" s="1"/>
  <c r="BB18" i="9"/>
  <c r="BB20" i="9" s="1"/>
  <c r="BK75" i="7"/>
  <c r="BK77" i="7" s="1"/>
  <c r="BK78" i="7" s="1"/>
  <c r="BK72" i="7"/>
  <c r="F61" i="19"/>
  <c r="E61" i="19"/>
  <c r="F62" i="19"/>
  <c r="E62" i="19"/>
  <c r="BC43" i="11" l="1"/>
  <c r="BD44" i="11"/>
  <c r="BB28" i="9"/>
  <c r="BB45" i="9" s="1"/>
  <c r="BB49" i="9" s="1"/>
  <c r="BB47" i="9" s="1"/>
  <c r="BB35" i="9"/>
  <c r="BB38" i="9" s="1"/>
  <c r="BC25" i="11" s="1"/>
  <c r="BB32" i="9"/>
  <c r="BB6" i="10"/>
  <c r="BB10" i="10" s="1"/>
  <c r="BB14" i="10" s="1"/>
  <c r="BA21" i="10"/>
  <c r="BA30" i="10"/>
  <c r="BA32" i="10" s="1"/>
  <c r="BA19" i="10"/>
  <c r="BB17" i="11"/>
  <c r="BJ79" i="7"/>
  <c r="BI10" i="7"/>
  <c r="BI11" i="7" s="1"/>
  <c r="AZ30" i="10"/>
  <c r="AZ32" i="10" s="1"/>
  <c r="AZ21" i="10"/>
  <c r="AZ19" i="10"/>
  <c r="BA17" i="11"/>
  <c r="AY34" i="10"/>
  <c r="AZ19" i="11" s="1"/>
  <c r="AZ27" i="11"/>
  <c r="BH15" i="7"/>
  <c r="BH13" i="7" s="1"/>
  <c r="BH18" i="7" s="1"/>
  <c r="BI14" i="7"/>
  <c r="BC38" i="11"/>
  <c r="BC39" i="11" s="1"/>
  <c r="BC18" i="9"/>
  <c r="BC20" i="9" s="1"/>
  <c r="G45" i="19"/>
  <c r="G62" i="19"/>
  <c r="BK79" i="7" l="1"/>
  <c r="BJ10" i="7"/>
  <c r="BJ11" i="7" s="1"/>
  <c r="BI15" i="7"/>
  <c r="BI13" i="7" s="1"/>
  <c r="BI18" i="7" s="1"/>
  <c r="BJ14" i="7"/>
  <c r="BA34" i="10"/>
  <c r="BB19" i="11" s="1"/>
  <c r="BB27" i="11"/>
  <c r="BC35" i="9"/>
  <c r="BC38" i="9" s="1"/>
  <c r="BD25" i="11" s="1"/>
  <c r="BC28" i="9"/>
  <c r="BC45" i="9" s="1"/>
  <c r="BC49" i="9" s="1"/>
  <c r="BC47" i="9" s="1"/>
  <c r="BC32" i="9"/>
  <c r="BC6" i="10"/>
  <c r="BC10" i="10" s="1"/>
  <c r="BC14" i="10" s="1"/>
  <c r="BC40" i="11"/>
  <c r="BC42" i="11" s="1"/>
  <c r="BD43" i="11" s="1"/>
  <c r="BB30" i="10"/>
  <c r="BB32" i="10" s="1"/>
  <c r="BC17" i="11"/>
  <c r="BB19" i="10"/>
  <c r="BB21" i="10"/>
  <c r="AZ34" i="10"/>
  <c r="BA19" i="11" s="1"/>
  <c r="BA27" i="11"/>
  <c r="G61" i="19"/>
  <c r="BD17" i="11" l="1"/>
  <c r="BC19" i="10"/>
  <c r="BC30" i="10"/>
  <c r="BC32" i="10" s="1"/>
  <c r="BC21" i="10"/>
  <c r="BK14" i="7"/>
  <c r="BJ15" i="7"/>
  <c r="BJ13" i="7" s="1"/>
  <c r="BJ18" i="7" s="1"/>
  <c r="BB34" i="10"/>
  <c r="BC19" i="11" s="1"/>
  <c r="BC27" i="11"/>
  <c r="BM79" i="7"/>
  <c r="BK10" i="7"/>
  <c r="BK11" i="7" s="1"/>
  <c r="BK15" i="7" s="1"/>
  <c r="E56" i="19"/>
  <c r="BC34" i="10" l="1"/>
  <c r="BD19" i="11" s="1"/>
  <c r="BD27" i="11"/>
  <c r="BK13" i="7"/>
  <c r="BK18" i="7" s="1"/>
  <c r="E53" i="19"/>
  <c r="F53" i="19" l="1"/>
  <c r="F56" i="19"/>
  <c r="G56" i="19"/>
  <c r="G53" i="19" l="1"/>
  <c r="H45" i="19" l="1"/>
  <c r="H61" i="19" l="1"/>
  <c r="I45" i="19"/>
  <c r="I62" i="19"/>
  <c r="I61" i="19" l="1"/>
  <c r="H62" i="19"/>
  <c r="H56" i="19" l="1"/>
  <c r="H53" i="19"/>
  <c r="I56" i="19" l="1"/>
  <c r="I53" i="19"/>
  <c r="J45" i="19" l="1"/>
  <c r="J61" i="19" l="1"/>
  <c r="J62" i="19" l="1"/>
  <c r="J53" i="19" l="1"/>
  <c r="Z10" i="4" l="1"/>
  <c r="T11" i="3" s="1"/>
  <c r="Y10" i="4"/>
  <c r="S11" i="3" s="1"/>
  <c r="X10" i="4"/>
  <c r="R11" i="3" s="1"/>
  <c r="W10" i="4"/>
  <c r="Q11" i="3" s="1"/>
  <c r="V10" i="4"/>
  <c r="P11" i="3" s="1"/>
  <c r="U10" i="4"/>
  <c r="O11" i="3" s="1"/>
  <c r="T10" i="4"/>
  <c r="N11" i="3" s="1"/>
  <c r="Q16" i="3" l="1"/>
  <c r="Q18" i="3" s="1"/>
  <c r="Q9" i="9"/>
  <c r="N9" i="9"/>
  <c r="N16" i="3"/>
  <c r="N18" i="3" s="1"/>
  <c r="R9" i="9"/>
  <c r="R16" i="3"/>
  <c r="R18" i="3" s="1"/>
  <c r="O16" i="3"/>
  <c r="O18" i="3" s="1"/>
  <c r="O9" i="9"/>
  <c r="S9" i="9"/>
  <c r="S16" i="3"/>
  <c r="S18" i="3" s="1"/>
  <c r="P9" i="9"/>
  <c r="P16" i="3"/>
  <c r="P18" i="3" s="1"/>
  <c r="T9" i="9"/>
  <c r="T16" i="3"/>
  <c r="T18" i="3" s="1"/>
  <c r="U12" i="11" l="1"/>
  <c r="T12" i="11"/>
  <c r="S12" i="11"/>
  <c r="Q21" i="3"/>
  <c r="Q52" i="9"/>
  <c r="P52" i="9"/>
  <c r="P21" i="3"/>
  <c r="P12" i="11"/>
  <c r="N21" i="3"/>
  <c r="N52" i="9"/>
  <c r="Q12" i="11"/>
  <c r="O21" i="3"/>
  <c r="O52" i="9"/>
  <c r="O12" i="11"/>
  <c r="T21" i="3"/>
  <c r="T52" i="9"/>
  <c r="S21" i="3"/>
  <c r="S52" i="9"/>
  <c r="R52" i="9"/>
  <c r="R21" i="3"/>
  <c r="R12" i="11"/>
  <c r="T53" i="9" l="1"/>
  <c r="U54" i="9" s="1"/>
  <c r="S56" i="9"/>
  <c r="S6" i="9" s="1"/>
  <c r="R53" i="9"/>
  <c r="S54" i="9" s="1"/>
  <c r="Q56" i="9"/>
  <c r="Q6" i="9" s="1"/>
  <c r="S10" i="4"/>
  <c r="M11" i="3" s="1"/>
  <c r="T56" i="9"/>
  <c r="T6" i="9" s="1"/>
  <c r="U53" i="9"/>
  <c r="V54" i="9" s="1"/>
  <c r="O56" i="9"/>
  <c r="O6" i="9" s="1"/>
  <c r="P53" i="9"/>
  <c r="Q54" i="9" s="1"/>
  <c r="O53" i="9"/>
  <c r="P54" i="9" s="1"/>
  <c r="N56" i="9"/>
  <c r="N6" i="9" s="1"/>
  <c r="S53" i="9"/>
  <c r="T54" i="9" s="1"/>
  <c r="R56" i="9"/>
  <c r="R6" i="9" s="1"/>
  <c r="Q53" i="9"/>
  <c r="R54" i="9" s="1"/>
  <c r="P56" i="9"/>
  <c r="P6" i="9" s="1"/>
  <c r="Q31" i="10" l="1"/>
  <c r="Q13" i="9"/>
  <c r="Q16" i="9" s="1"/>
  <c r="Q37" i="9" s="1"/>
  <c r="R6" i="11"/>
  <c r="P31" i="10"/>
  <c r="P13" i="9"/>
  <c r="Q6" i="11"/>
  <c r="N13" i="9"/>
  <c r="N31" i="10"/>
  <c r="O6" i="11"/>
  <c r="T31" i="10"/>
  <c r="T13" i="9"/>
  <c r="U6" i="11"/>
  <c r="S31" i="10"/>
  <c r="T6" i="11"/>
  <c r="S13" i="9"/>
  <c r="S16" i="9" s="1"/>
  <c r="S37" i="9" s="1"/>
  <c r="S6" i="11"/>
  <c r="R13" i="9"/>
  <c r="R31" i="10"/>
  <c r="M9" i="9"/>
  <c r="N12" i="11" s="1"/>
  <c r="M16" i="3"/>
  <c r="M18" i="3" s="1"/>
  <c r="P6" i="11"/>
  <c r="O31" i="10"/>
  <c r="O13" i="9"/>
  <c r="O16" i="9" s="1"/>
  <c r="O37" i="9" s="1"/>
  <c r="K10" i="4" l="1"/>
  <c r="E11" i="3" s="1"/>
  <c r="E16" i="3" s="1"/>
  <c r="P8" i="11"/>
  <c r="P37" i="11"/>
  <c r="P38" i="11" s="1"/>
  <c r="P39" i="11" s="1"/>
  <c r="P40" i="11" s="1"/>
  <c r="P42" i="11" s="1"/>
  <c r="M21" i="3"/>
  <c r="M52" i="9"/>
  <c r="S18" i="9"/>
  <c r="S20" i="9" s="1"/>
  <c r="T16" i="9"/>
  <c r="T37" i="9" s="1"/>
  <c r="N16" i="9"/>
  <c r="N37" i="9" s="1"/>
  <c r="O18" i="9"/>
  <c r="O20" i="9" s="1"/>
  <c r="S37" i="11"/>
  <c r="S38" i="11" s="1"/>
  <c r="S39" i="11" s="1"/>
  <c r="S40" i="11" s="1"/>
  <c r="S42" i="11" s="1"/>
  <c r="S8" i="11"/>
  <c r="T8" i="11"/>
  <c r="T37" i="11"/>
  <c r="Q37" i="11"/>
  <c r="Q8" i="11"/>
  <c r="R37" i="11"/>
  <c r="R8" i="11"/>
  <c r="R16" i="9"/>
  <c r="R37" i="9" s="1"/>
  <c r="J10" i="4"/>
  <c r="D11" i="3" s="1"/>
  <c r="O37" i="11"/>
  <c r="O38" i="11" s="1"/>
  <c r="O39" i="11" s="1"/>
  <c r="O40" i="11" s="1"/>
  <c r="O42" i="11" s="1"/>
  <c r="O8" i="11"/>
  <c r="P16" i="9"/>
  <c r="P37" i="9" s="1"/>
  <c r="Q18" i="9"/>
  <c r="Q20" i="9" s="1"/>
  <c r="U8" i="11"/>
  <c r="U37" i="11"/>
  <c r="T18" i="9" l="1"/>
  <c r="T20" i="9" s="1"/>
  <c r="T32" i="9" s="1"/>
  <c r="Q38" i="11"/>
  <c r="Q39" i="11" s="1"/>
  <c r="L10" i="4"/>
  <c r="F11" i="3" s="1"/>
  <c r="Q35" i="9"/>
  <c r="Q38" i="9" s="1"/>
  <c r="R25" i="11" s="1"/>
  <c r="Q28" i="9"/>
  <c r="Q45" i="9" s="1"/>
  <c r="Q49" i="9" s="1"/>
  <c r="Q47" i="9" s="1"/>
  <c r="Q32" i="9"/>
  <c r="Q6" i="10"/>
  <c r="Q10" i="10" s="1"/>
  <c r="Q14" i="10" s="1"/>
  <c r="N53" i="9"/>
  <c r="O54" i="9" s="1"/>
  <c r="M56" i="9"/>
  <c r="M6" i="9" s="1"/>
  <c r="U38" i="11"/>
  <c r="U39" i="11" s="1"/>
  <c r="N18" i="9"/>
  <c r="N20" i="9" s="1"/>
  <c r="S28" i="9"/>
  <c r="S45" i="9" s="1"/>
  <c r="S49" i="9" s="1"/>
  <c r="S47" i="9" s="1"/>
  <c r="S6" i="10"/>
  <c r="S10" i="10" s="1"/>
  <c r="S14" i="10" s="1"/>
  <c r="S35" i="9"/>
  <c r="S38" i="9" s="1"/>
  <c r="T25" i="11" s="1"/>
  <c r="S32" i="9"/>
  <c r="R44" i="11"/>
  <c r="Q43" i="11"/>
  <c r="U44" i="11"/>
  <c r="T43" i="11"/>
  <c r="R18" i="9"/>
  <c r="R20" i="9" s="1"/>
  <c r="Q44" i="11"/>
  <c r="P43" i="11"/>
  <c r="T38" i="11"/>
  <c r="T39" i="11" s="1"/>
  <c r="E9" i="9"/>
  <c r="E18" i="3"/>
  <c r="E52" i="9" s="1"/>
  <c r="E56" i="9" s="1"/>
  <c r="E6" i="9" s="1"/>
  <c r="P18" i="9"/>
  <c r="P20" i="9" s="1"/>
  <c r="D9" i="9"/>
  <c r="D16" i="3"/>
  <c r="D18" i="3" s="1"/>
  <c r="R38" i="11"/>
  <c r="R39" i="11" s="1"/>
  <c r="O28" i="9"/>
  <c r="O45" i="9" s="1"/>
  <c r="O49" i="9" s="1"/>
  <c r="O47" i="9" s="1"/>
  <c r="O35" i="9"/>
  <c r="O38" i="9" s="1"/>
  <c r="P25" i="11" s="1"/>
  <c r="O32" i="9"/>
  <c r="O6" i="10"/>
  <c r="O10" i="10" s="1"/>
  <c r="O14" i="10" s="1"/>
  <c r="T6" i="10" l="1"/>
  <c r="T10" i="10" s="1"/>
  <c r="T14" i="10" s="1"/>
  <c r="T19" i="10" s="1"/>
  <c r="T28" i="9"/>
  <c r="T45" i="9" s="1"/>
  <c r="T49" i="9" s="1"/>
  <c r="T47" i="9" s="1"/>
  <c r="T35" i="9"/>
  <c r="T38" i="9" s="1"/>
  <c r="U25" i="11" s="1"/>
  <c r="U40" i="11"/>
  <c r="U42" i="11" s="1"/>
  <c r="W44" i="11" s="1"/>
  <c r="E21" i="3"/>
  <c r="Q19" i="10"/>
  <c r="Q21" i="10"/>
  <c r="Q30" i="10"/>
  <c r="Q32" i="10" s="1"/>
  <c r="R17" i="11"/>
  <c r="F9" i="9"/>
  <c r="F16" i="3"/>
  <c r="F18" i="3" s="1"/>
  <c r="D52" i="9"/>
  <c r="D21" i="3"/>
  <c r="F12" i="11"/>
  <c r="F43" i="19"/>
  <c r="S30" i="10"/>
  <c r="S32" i="10" s="1"/>
  <c r="T17" i="11"/>
  <c r="S19" i="10"/>
  <c r="S21" i="10"/>
  <c r="E12" i="11"/>
  <c r="E43" i="19"/>
  <c r="T40" i="11"/>
  <c r="T42" i="11" s="1"/>
  <c r="R28" i="9"/>
  <c r="R45" i="9" s="1"/>
  <c r="R49" i="9" s="1"/>
  <c r="R47" i="9" s="1"/>
  <c r="R35" i="9"/>
  <c r="R38" i="9" s="1"/>
  <c r="S25" i="11" s="1"/>
  <c r="R32" i="9"/>
  <c r="R6" i="10"/>
  <c r="R10" i="10" s="1"/>
  <c r="R14" i="10" s="1"/>
  <c r="M13" i="9"/>
  <c r="M16" i="9" s="1"/>
  <c r="N6" i="11"/>
  <c r="M31" i="10"/>
  <c r="Q40" i="11"/>
  <c r="Q42" i="11" s="1"/>
  <c r="O19" i="10"/>
  <c r="P17" i="11"/>
  <c r="O30" i="10"/>
  <c r="O32" i="10" s="1"/>
  <c r="O21" i="10"/>
  <c r="R40" i="11"/>
  <c r="R42" i="11" s="1"/>
  <c r="P28" i="9"/>
  <c r="P45" i="9" s="1"/>
  <c r="P49" i="9" s="1"/>
  <c r="P47" i="9" s="1"/>
  <c r="P6" i="10"/>
  <c r="P10" i="10" s="1"/>
  <c r="P14" i="10" s="1"/>
  <c r="P35" i="9"/>
  <c r="P38" i="9" s="1"/>
  <c r="Q25" i="11" s="1"/>
  <c r="P32" i="9"/>
  <c r="N28" i="9"/>
  <c r="N45" i="9" s="1"/>
  <c r="N49" i="9" s="1"/>
  <c r="N47" i="9" s="1"/>
  <c r="N6" i="10"/>
  <c r="N10" i="10" s="1"/>
  <c r="N14" i="10" s="1"/>
  <c r="N32" i="9"/>
  <c r="N35" i="9"/>
  <c r="N38" i="9" s="1"/>
  <c r="O25" i="11" s="1"/>
  <c r="T21" i="10" l="1"/>
  <c r="T30" i="10"/>
  <c r="T32" i="10" s="1"/>
  <c r="T34" i="10" s="1"/>
  <c r="U19" i="11" s="1"/>
  <c r="U17" i="11"/>
  <c r="V43" i="11"/>
  <c r="M18" i="9"/>
  <c r="M20" i="9" s="1"/>
  <c r="M37" i="9"/>
  <c r="S44" i="11"/>
  <c r="R43" i="11"/>
  <c r="N21" i="10"/>
  <c r="O17" i="11"/>
  <c r="N19" i="10"/>
  <c r="N30" i="10"/>
  <c r="N32" i="10" s="1"/>
  <c r="Q17" i="11"/>
  <c r="P19" i="10"/>
  <c r="P21" i="10"/>
  <c r="P30" i="10"/>
  <c r="P32" i="10" s="1"/>
  <c r="P27" i="11"/>
  <c r="O34" i="10"/>
  <c r="P19" i="11" s="1"/>
  <c r="R21" i="10"/>
  <c r="S17" i="11"/>
  <c r="R30" i="10"/>
  <c r="R32" i="10" s="1"/>
  <c r="R19" i="10"/>
  <c r="V44" i="11"/>
  <c r="U43" i="11"/>
  <c r="G11" i="3"/>
  <c r="S34" i="10"/>
  <c r="T19" i="11" s="1"/>
  <c r="T27" i="11"/>
  <c r="D56" i="9"/>
  <c r="D6" i="9" s="1"/>
  <c r="E53" i="9"/>
  <c r="F54" i="9" s="1"/>
  <c r="R27" i="11"/>
  <c r="Q34" i="10"/>
  <c r="R19" i="11" s="1"/>
  <c r="S43" i="11"/>
  <c r="T44" i="11"/>
  <c r="N8" i="11"/>
  <c r="N37" i="11"/>
  <c r="F21" i="3"/>
  <c r="F52" i="9"/>
  <c r="G12" i="11"/>
  <c r="G43" i="19"/>
  <c r="F53" i="9"/>
  <c r="G54" i="9" s="1"/>
  <c r="U27" i="11" l="1"/>
  <c r="F6" i="11"/>
  <c r="E31" i="10"/>
  <c r="F70" i="11"/>
  <c r="F72" i="11" s="1"/>
  <c r="E13" i="9"/>
  <c r="F40" i="19"/>
  <c r="N38" i="11"/>
  <c r="N39" i="11" s="1"/>
  <c r="N10" i="4"/>
  <c r="H11" i="3" s="1"/>
  <c r="H16" i="3" s="1"/>
  <c r="E70" i="11"/>
  <c r="E72" i="11" s="1"/>
  <c r="D31" i="10"/>
  <c r="D13" i="9"/>
  <c r="E6" i="11"/>
  <c r="E40" i="19"/>
  <c r="S27" i="11"/>
  <c r="R34" i="10"/>
  <c r="S19" i="11" s="1"/>
  <c r="P34" i="10"/>
  <c r="Q19" i="11" s="1"/>
  <c r="Q27" i="11"/>
  <c r="N34" i="10"/>
  <c r="O19" i="11" s="1"/>
  <c r="O27" i="11"/>
  <c r="F56" i="9"/>
  <c r="F6" i="9" s="1"/>
  <c r="G53" i="9"/>
  <c r="H54" i="9" s="1"/>
  <c r="G9" i="9"/>
  <c r="G16" i="3"/>
  <c r="G18" i="3" s="1"/>
  <c r="M28" i="9"/>
  <c r="M45" i="9" s="1"/>
  <c r="M49" i="9" s="1"/>
  <c r="M47" i="9" s="1"/>
  <c r="M32" i="9"/>
  <c r="M35" i="9"/>
  <c r="M38" i="9" s="1"/>
  <c r="N25" i="11" s="1"/>
  <c r="M6" i="10"/>
  <c r="M10" i="10" s="1"/>
  <c r="M14" i="10" s="1"/>
  <c r="N17" i="11" l="1"/>
  <c r="M21" i="10"/>
  <c r="M19" i="10"/>
  <c r="M30" i="10"/>
  <c r="M32" i="10" s="1"/>
  <c r="G21" i="3"/>
  <c r="G52" i="9"/>
  <c r="E8" i="11"/>
  <c r="E37" i="11"/>
  <c r="D16" i="9"/>
  <c r="D18" i="9" s="1"/>
  <c r="D20" i="9" s="1"/>
  <c r="E46" i="19"/>
  <c r="O10" i="4"/>
  <c r="I11" i="3" s="1"/>
  <c r="N40" i="11"/>
  <c r="N42" i="11" s="1"/>
  <c r="P10" i="4"/>
  <c r="J11" i="3" s="1"/>
  <c r="F31" i="10"/>
  <c r="G6" i="11"/>
  <c r="F13" i="9"/>
  <c r="G70" i="11"/>
  <c r="G72" i="11" s="1"/>
  <c r="G40" i="19"/>
  <c r="H9" i="9"/>
  <c r="H18" i="3"/>
  <c r="F37" i="11"/>
  <c r="F38" i="11" s="1"/>
  <c r="F39" i="11" s="1"/>
  <c r="F40" i="11" s="1"/>
  <c r="F42" i="11" s="1"/>
  <c r="F8" i="11"/>
  <c r="H12" i="11"/>
  <c r="H43" i="19"/>
  <c r="E16" i="9"/>
  <c r="E18" i="9" s="1"/>
  <c r="E20" i="9" s="1"/>
  <c r="F46" i="19"/>
  <c r="E6" i="10" l="1"/>
  <c r="E10" i="10" s="1"/>
  <c r="E14" i="10" s="1"/>
  <c r="E32" i="9"/>
  <c r="E28" i="9"/>
  <c r="E35" i="9"/>
  <c r="H21" i="3"/>
  <c r="H52" i="9"/>
  <c r="Q10" i="4"/>
  <c r="K11" i="3" s="1"/>
  <c r="I12" i="11"/>
  <c r="I43" i="19"/>
  <c r="G46" i="19"/>
  <c r="P44" i="11"/>
  <c r="O43" i="11"/>
  <c r="E37" i="9"/>
  <c r="F47" i="19"/>
  <c r="F48" i="19" s="1"/>
  <c r="F50" i="19" s="1"/>
  <c r="G37" i="11"/>
  <c r="G8" i="11"/>
  <c r="I9" i="9"/>
  <c r="I16" i="3"/>
  <c r="I18" i="3" s="1"/>
  <c r="D37" i="9"/>
  <c r="E47" i="19"/>
  <c r="E48" i="19" s="1"/>
  <c r="E50" i="19" s="1"/>
  <c r="H53" i="9"/>
  <c r="I54" i="9" s="1"/>
  <c r="G56" i="9"/>
  <c r="G6" i="9" s="1"/>
  <c r="H44" i="11"/>
  <c r="G43" i="11"/>
  <c r="F16" i="9"/>
  <c r="J9" i="9"/>
  <c r="J16" i="3"/>
  <c r="J18" i="3" s="1"/>
  <c r="D35" i="9"/>
  <c r="D28" i="9"/>
  <c r="D32" i="9"/>
  <c r="D6" i="10"/>
  <c r="D10" i="10" s="1"/>
  <c r="D14" i="10" s="1"/>
  <c r="E38" i="11"/>
  <c r="E39" i="11" s="1"/>
  <c r="M34" i="10"/>
  <c r="N19" i="11" s="1"/>
  <c r="N27" i="11"/>
  <c r="R10" i="4"/>
  <c r="L11" i="3" s="1"/>
  <c r="F18" i="9" l="1"/>
  <c r="F20" i="9" s="1"/>
  <c r="E40" i="11"/>
  <c r="E42" i="11" s="1"/>
  <c r="G44" i="11" s="1"/>
  <c r="D38" i="9"/>
  <c r="E25" i="11" s="1"/>
  <c r="L9" i="9"/>
  <c r="L16" i="3"/>
  <c r="L18" i="3" s="1"/>
  <c r="E60" i="19"/>
  <c r="E63" i="19" s="1"/>
  <c r="E65" i="19" s="1"/>
  <c r="E51" i="19"/>
  <c r="F60" i="19"/>
  <c r="F63" i="19" s="1"/>
  <c r="F65" i="19" s="1"/>
  <c r="F51" i="19"/>
  <c r="E38" i="9"/>
  <c r="F25" i="11" s="1"/>
  <c r="K9" i="9"/>
  <c r="K16" i="3"/>
  <c r="K18" i="3" s="1"/>
  <c r="E45" i="9"/>
  <c r="E49" i="9" s="1"/>
  <c r="E47" i="9" s="1"/>
  <c r="F51" i="11"/>
  <c r="F52" i="11" s="1"/>
  <c r="F62" i="11" s="1"/>
  <c r="F61" i="11" s="1"/>
  <c r="D21" i="10"/>
  <c r="E17" i="11"/>
  <c r="D19" i="10"/>
  <c r="D30" i="10"/>
  <c r="D32" i="10" s="1"/>
  <c r="D34" i="10" s="1"/>
  <c r="D15" i="10"/>
  <c r="E15" i="10" s="1"/>
  <c r="J52" i="9"/>
  <c r="J21" i="3"/>
  <c r="F37" i="9"/>
  <c r="G47" i="19"/>
  <c r="G48" i="19" s="1"/>
  <c r="G50" i="19" s="1"/>
  <c r="G13" i="9"/>
  <c r="H70" i="11"/>
  <c r="H72" i="11" s="1"/>
  <c r="H6" i="11"/>
  <c r="G31" i="10"/>
  <c r="H40" i="19"/>
  <c r="I21" i="3"/>
  <c r="I52" i="9"/>
  <c r="G38" i="11"/>
  <c r="G39" i="11" s="1"/>
  <c r="I53" i="9"/>
  <c r="J54" i="9" s="1"/>
  <c r="H56" i="9"/>
  <c r="H6" i="9" s="1"/>
  <c r="D45" i="9"/>
  <c r="D49" i="9" s="1"/>
  <c r="D47" i="9" s="1"/>
  <c r="E51" i="11"/>
  <c r="E52" i="11" s="1"/>
  <c r="E62" i="11" s="1"/>
  <c r="E61" i="11" s="1"/>
  <c r="K12" i="11"/>
  <c r="J12" i="11"/>
  <c r="F17" i="11"/>
  <c r="E19" i="10"/>
  <c r="E21" i="10"/>
  <c r="E30" i="10"/>
  <c r="E32" i="10" s="1"/>
  <c r="F28" i="9" l="1"/>
  <c r="G51" i="11" s="1"/>
  <c r="G52" i="11" s="1"/>
  <c r="G62" i="11" s="1"/>
  <c r="G61" i="11" s="1"/>
  <c r="F35" i="9"/>
  <c r="F38" i="9" s="1"/>
  <c r="G25" i="11" s="1"/>
  <c r="F6" i="10"/>
  <c r="F10" i="10" s="1"/>
  <c r="F14" i="10" s="1"/>
  <c r="F21" i="10" s="1"/>
  <c r="F32" i="9"/>
  <c r="J43" i="19"/>
  <c r="E22" i="10"/>
  <c r="F43" i="11"/>
  <c r="G40" i="11"/>
  <c r="G42" i="11" s="1"/>
  <c r="I44" i="11" s="1"/>
  <c r="F54" i="19"/>
  <c r="F9" i="19" s="1"/>
  <c r="F10" i="19"/>
  <c r="G16" i="9"/>
  <c r="H46" i="19"/>
  <c r="K53" i="9"/>
  <c r="L54" i="9" s="1"/>
  <c r="J56" i="9"/>
  <c r="J6" i="9" s="1"/>
  <c r="G60" i="19"/>
  <c r="G63" i="19" s="1"/>
  <c r="G65" i="19" s="1"/>
  <c r="G51" i="19"/>
  <c r="D22" i="10"/>
  <c r="K21" i="3"/>
  <c r="K52" i="9"/>
  <c r="E10" i="19"/>
  <c r="E54" i="19"/>
  <c r="E9" i="19" s="1"/>
  <c r="E34" i="10"/>
  <c r="F27" i="11"/>
  <c r="H13" i="9"/>
  <c r="H16" i="9" s="1"/>
  <c r="I70" i="11"/>
  <c r="I72" i="11" s="1"/>
  <c r="H31" i="10"/>
  <c r="I6" i="11"/>
  <c r="I40" i="19"/>
  <c r="J53" i="9"/>
  <c r="K54" i="9" s="1"/>
  <c r="I56" i="9"/>
  <c r="I6" i="9" s="1"/>
  <c r="H8" i="11"/>
  <c r="H37" i="11"/>
  <c r="E27" i="11"/>
  <c r="L12" i="11"/>
  <c r="L21" i="3"/>
  <c r="L52" i="9"/>
  <c r="M12" i="11"/>
  <c r="F19" i="10" l="1"/>
  <c r="F45" i="9"/>
  <c r="F49" i="9" s="1"/>
  <c r="F47" i="9" s="1"/>
  <c r="F15" i="10"/>
  <c r="G17" i="11"/>
  <c r="F30" i="10"/>
  <c r="F32" i="10" s="1"/>
  <c r="G27" i="11" s="1"/>
  <c r="C23" i="3"/>
  <c r="C16" i="19" s="1"/>
  <c r="F19" i="11"/>
  <c r="H43" i="11"/>
  <c r="C12" i="11"/>
  <c r="J6" i="11"/>
  <c r="I31" i="10"/>
  <c r="I13" i="9"/>
  <c r="H37" i="9"/>
  <c r="I47" i="19"/>
  <c r="G10" i="19"/>
  <c r="G54" i="19"/>
  <c r="G9" i="19" s="1"/>
  <c r="J13" i="9"/>
  <c r="K6" i="11"/>
  <c r="J31" i="10"/>
  <c r="G37" i="9"/>
  <c r="H47" i="19"/>
  <c r="H48" i="19" s="1"/>
  <c r="H50" i="19" s="1"/>
  <c r="M53" i="9"/>
  <c r="N54" i="9" s="1"/>
  <c r="L56" i="9"/>
  <c r="L6" i="9" s="1"/>
  <c r="H38" i="11"/>
  <c r="H39" i="11" s="1"/>
  <c r="L53" i="9"/>
  <c r="M54" i="9" s="1"/>
  <c r="K56" i="9"/>
  <c r="K6" i="9" s="1"/>
  <c r="F22" i="10"/>
  <c r="E19" i="11"/>
  <c r="D35" i="10"/>
  <c r="E20" i="11" s="1"/>
  <c r="E21" i="11" s="1"/>
  <c r="E35" i="10"/>
  <c r="F20" i="11" s="1"/>
  <c r="F21" i="11" s="1"/>
  <c r="I37" i="11"/>
  <c r="I38" i="11" s="1"/>
  <c r="I39" i="11" s="1"/>
  <c r="I40" i="11" s="1"/>
  <c r="I42" i="11" s="1"/>
  <c r="I8" i="11"/>
  <c r="I46" i="19"/>
  <c r="H18" i="9"/>
  <c r="H20" i="9" s="1"/>
  <c r="G18" i="9"/>
  <c r="G20" i="9" s="1"/>
  <c r="F34" i="10" l="1"/>
  <c r="G19" i="11" s="1"/>
  <c r="J40" i="19"/>
  <c r="I48" i="19"/>
  <c r="I50" i="19" s="1"/>
  <c r="I60" i="19" s="1"/>
  <c r="I63" i="19" s="1"/>
  <c r="I65" i="19" s="1"/>
  <c r="H40" i="11"/>
  <c r="H42" i="11" s="1"/>
  <c r="I43" i="11" s="1"/>
  <c r="K44" i="11"/>
  <c r="J43" i="11"/>
  <c r="H60" i="19"/>
  <c r="H63" i="19" s="1"/>
  <c r="H65" i="19" s="1"/>
  <c r="H51" i="19"/>
  <c r="K37" i="11"/>
  <c r="K38" i="11" s="1"/>
  <c r="K39" i="11" s="1"/>
  <c r="K40" i="11" s="1"/>
  <c r="K42" i="11" s="1"/>
  <c r="K8" i="11"/>
  <c r="H32" i="9"/>
  <c r="H28" i="9"/>
  <c r="H45" i="9" s="1"/>
  <c r="H49" i="9" s="1"/>
  <c r="H47" i="9" s="1"/>
  <c r="H35" i="9"/>
  <c r="H38" i="9" s="1"/>
  <c r="I25" i="11" s="1"/>
  <c r="H6" i="10"/>
  <c r="H10" i="10" s="1"/>
  <c r="H14" i="10" s="1"/>
  <c r="L6" i="11"/>
  <c r="K13" i="9"/>
  <c r="K31" i="10"/>
  <c r="I16" i="9"/>
  <c r="I18" i="9" s="1"/>
  <c r="I20" i="9" s="1"/>
  <c r="G28" i="9"/>
  <c r="G35" i="9"/>
  <c r="G38" i="9" s="1"/>
  <c r="H25" i="11" s="1"/>
  <c r="G6" i="10"/>
  <c r="G10" i="10" s="1"/>
  <c r="G14" i="10" s="1"/>
  <c r="G32" i="9"/>
  <c r="M6" i="11"/>
  <c r="L13" i="9"/>
  <c r="L16" i="9" s="1"/>
  <c r="L37" i="9" s="1"/>
  <c r="L31" i="10"/>
  <c r="J16" i="9"/>
  <c r="J37" i="9" s="1"/>
  <c r="J37" i="11"/>
  <c r="J38" i="11" s="1"/>
  <c r="J39" i="11" s="1"/>
  <c r="J40" i="11" s="1"/>
  <c r="J42" i="11" s="1"/>
  <c r="J8" i="11"/>
  <c r="F35" i="10" l="1"/>
  <c r="G20" i="11" s="1"/>
  <c r="G21" i="11" s="1"/>
  <c r="J44" i="11"/>
  <c r="I51" i="19"/>
  <c r="I54" i="19" s="1"/>
  <c r="I9" i="19" s="1"/>
  <c r="J46" i="19"/>
  <c r="M8" i="11"/>
  <c r="M37" i="11"/>
  <c r="M38" i="11" s="1"/>
  <c r="M39" i="11" s="1"/>
  <c r="M40" i="11" s="1"/>
  <c r="M42" i="11" s="1"/>
  <c r="I28" i="9"/>
  <c r="I45" i="9" s="1"/>
  <c r="I49" i="9" s="1"/>
  <c r="I47" i="9" s="1"/>
  <c r="I32" i="9"/>
  <c r="I35" i="9"/>
  <c r="I6" i="10"/>
  <c r="I10" i="10" s="1"/>
  <c r="I14" i="10" s="1"/>
  <c r="M44" i="11"/>
  <c r="L43" i="11"/>
  <c r="C6" i="11"/>
  <c r="H17" i="11"/>
  <c r="G21" i="10"/>
  <c r="G19" i="10"/>
  <c r="G30" i="10"/>
  <c r="G32" i="10" s="1"/>
  <c r="G15" i="10"/>
  <c r="H15" i="10" s="1"/>
  <c r="K16" i="9"/>
  <c r="K37" i="9" s="1"/>
  <c r="H54" i="19"/>
  <c r="H9" i="19" s="1"/>
  <c r="H10" i="19"/>
  <c r="I37" i="9"/>
  <c r="L37" i="11"/>
  <c r="L38" i="11" s="1"/>
  <c r="L39" i="11" s="1"/>
  <c r="L40" i="11" s="1"/>
  <c r="L42" i="11" s="1"/>
  <c r="L8" i="11"/>
  <c r="L44" i="11"/>
  <c r="K43" i="11"/>
  <c r="L18" i="9"/>
  <c r="L20" i="9" s="1"/>
  <c r="H51" i="11"/>
  <c r="H52" i="11" s="1"/>
  <c r="H62" i="11" s="1"/>
  <c r="H61" i="11" s="1"/>
  <c r="G45" i="9"/>
  <c r="G49" i="9" s="1"/>
  <c r="G47" i="9" s="1"/>
  <c r="J18" i="9"/>
  <c r="J20" i="9" s="1"/>
  <c r="H21" i="10"/>
  <c r="H30" i="10"/>
  <c r="H32" i="10" s="1"/>
  <c r="I17" i="11"/>
  <c r="H19" i="10"/>
  <c r="I10" i="19" l="1"/>
  <c r="J47" i="19"/>
  <c r="J48" i="19" s="1"/>
  <c r="J50" i="19" s="1"/>
  <c r="J60" i="19" s="1"/>
  <c r="J63" i="19" s="1"/>
  <c r="J65" i="19" s="1"/>
  <c r="K18" i="9"/>
  <c r="K20" i="9" s="1"/>
  <c r="K28" i="9" s="1"/>
  <c r="K45" i="9" s="1"/>
  <c r="K49" i="9" s="1"/>
  <c r="K47" i="9" s="1"/>
  <c r="I38" i="9"/>
  <c r="J25" i="11" s="1"/>
  <c r="J32" i="9"/>
  <c r="J35" i="9"/>
  <c r="J38" i="9" s="1"/>
  <c r="K25" i="11" s="1"/>
  <c r="J28" i="9"/>
  <c r="J45" i="9" s="1"/>
  <c r="J49" i="9" s="1"/>
  <c r="J47" i="9" s="1"/>
  <c r="J6" i="10"/>
  <c r="J10" i="10" s="1"/>
  <c r="J14" i="10" s="1"/>
  <c r="N44" i="11"/>
  <c r="M43" i="11"/>
  <c r="H27" i="11"/>
  <c r="G34" i="10"/>
  <c r="C42" i="11"/>
  <c r="I27" i="11"/>
  <c r="H34" i="10"/>
  <c r="I19" i="11" s="1"/>
  <c r="G22" i="10"/>
  <c r="H22" i="10"/>
  <c r="L32" i="9"/>
  <c r="L35" i="9"/>
  <c r="L38" i="9" s="1"/>
  <c r="M25" i="11" s="1"/>
  <c r="L6" i="10"/>
  <c r="L10" i="10" s="1"/>
  <c r="L14" i="10" s="1"/>
  <c r="L28" i="9"/>
  <c r="L45" i="9" s="1"/>
  <c r="L49" i="9" s="1"/>
  <c r="L47" i="9" s="1"/>
  <c r="J17" i="11"/>
  <c r="I21" i="10"/>
  <c r="I22" i="10" s="1"/>
  <c r="I30" i="10"/>
  <c r="I32" i="10" s="1"/>
  <c r="I19" i="10"/>
  <c r="I15" i="10"/>
  <c r="N43" i="11"/>
  <c r="O44" i="11"/>
  <c r="C31" i="11"/>
  <c r="C8" i="11"/>
  <c r="C10" i="11" s="1"/>
  <c r="C15" i="11" s="1"/>
  <c r="H35" i="10" l="1"/>
  <c r="K32" i="9"/>
  <c r="K6" i="10"/>
  <c r="K10" i="10" s="1"/>
  <c r="K14" i="10" s="1"/>
  <c r="C16" i="10" s="1"/>
  <c r="K35" i="9"/>
  <c r="K38" i="9" s="1"/>
  <c r="L25" i="11" s="1"/>
  <c r="J51" i="19"/>
  <c r="J54" i="19" s="1"/>
  <c r="J9" i="19" s="1"/>
  <c r="C44" i="11"/>
  <c r="C47" i="11" s="1"/>
  <c r="C43" i="11"/>
  <c r="C46" i="11" s="1"/>
  <c r="C25" i="11"/>
  <c r="I34" i="10"/>
  <c r="J19" i="11" s="1"/>
  <c r="J27" i="11"/>
  <c r="L30" i="10"/>
  <c r="L32" i="10" s="1"/>
  <c r="L21" i="10"/>
  <c r="L19" i="10"/>
  <c r="M17" i="11"/>
  <c r="H19" i="11"/>
  <c r="G35" i="10"/>
  <c r="H20" i="11" s="1"/>
  <c r="H21" i="11" s="1"/>
  <c r="I20" i="11"/>
  <c r="I21" i="11" s="1"/>
  <c r="K17" i="11"/>
  <c r="J19" i="10"/>
  <c r="J30" i="10"/>
  <c r="J32" i="10" s="1"/>
  <c r="J15" i="10"/>
  <c r="J21" i="10"/>
  <c r="J22" i="10" s="1"/>
  <c r="K30" i="10" l="1"/>
  <c r="K32" i="10" s="1"/>
  <c r="K34" i="10" s="1"/>
  <c r="L19" i="11" s="1"/>
  <c r="C13" i="19"/>
  <c r="L17" i="11"/>
  <c r="K19" i="10"/>
  <c r="K15" i="10"/>
  <c r="L15" i="10" s="1"/>
  <c r="M15" i="10" s="1"/>
  <c r="N15" i="10" s="1"/>
  <c r="O15" i="10" s="1"/>
  <c r="P15" i="10" s="1"/>
  <c r="Q15" i="10" s="1"/>
  <c r="R15" i="10" s="1"/>
  <c r="S15" i="10" s="1"/>
  <c r="T15" i="10" s="1"/>
  <c r="U15" i="10" s="1"/>
  <c r="V15" i="10" s="1"/>
  <c r="W15" i="10" s="1"/>
  <c r="X15" i="10" s="1"/>
  <c r="Y15" i="10" s="1"/>
  <c r="Z15" i="10" s="1"/>
  <c r="AA15" i="10" s="1"/>
  <c r="AB15" i="10" s="1"/>
  <c r="AC15" i="10" s="1"/>
  <c r="AD15" i="10" s="1"/>
  <c r="AE15" i="10" s="1"/>
  <c r="AF15" i="10" s="1"/>
  <c r="AG15" i="10" s="1"/>
  <c r="AH15" i="10" s="1"/>
  <c r="AI15" i="10" s="1"/>
  <c r="AJ15" i="10" s="1"/>
  <c r="AK15" i="10" s="1"/>
  <c r="AL15" i="10" s="1"/>
  <c r="AM15" i="10" s="1"/>
  <c r="AN15" i="10" s="1"/>
  <c r="AO15" i="10" s="1"/>
  <c r="AP15" i="10" s="1"/>
  <c r="AQ15" i="10" s="1"/>
  <c r="AR15" i="10" s="1"/>
  <c r="AS15" i="10" s="1"/>
  <c r="AT15" i="10" s="1"/>
  <c r="AU15" i="10" s="1"/>
  <c r="AV15" i="10" s="1"/>
  <c r="AW15" i="10" s="1"/>
  <c r="AX15" i="10" s="1"/>
  <c r="AY15" i="10" s="1"/>
  <c r="AZ15" i="10" s="1"/>
  <c r="BA15" i="10" s="1"/>
  <c r="BB15" i="10" s="1"/>
  <c r="BC15" i="10" s="1"/>
  <c r="K21" i="10"/>
  <c r="AT22" i="10" s="1"/>
  <c r="J10" i="19"/>
  <c r="I35" i="10"/>
  <c r="J20" i="11" s="1"/>
  <c r="J21" i="11" s="1"/>
  <c r="K27" i="11"/>
  <c r="J34" i="10"/>
  <c r="C17" i="11"/>
  <c r="M27" i="11"/>
  <c r="L34" i="10"/>
  <c r="C19" i="11" l="1"/>
  <c r="L27" i="11"/>
  <c r="C27" i="11" s="1"/>
  <c r="C24" i="10"/>
  <c r="C12" i="19" s="1"/>
  <c r="Q22" i="10"/>
  <c r="AW22" i="10"/>
  <c r="AI22" i="10"/>
  <c r="X22" i="10"/>
  <c r="U22" i="10"/>
  <c r="N22" i="10"/>
  <c r="AO22" i="10"/>
  <c r="M22" i="10"/>
  <c r="T22" i="10"/>
  <c r="AQ22" i="10"/>
  <c r="AB22" i="10"/>
  <c r="AG22" i="10"/>
  <c r="AJ22" i="10"/>
  <c r="AR22" i="10"/>
  <c r="AF22" i="10"/>
  <c r="AM22" i="10"/>
  <c r="AP22" i="10"/>
  <c r="S22" i="10"/>
  <c r="Z22" i="10"/>
  <c r="BC22" i="10"/>
  <c r="AH22" i="10"/>
  <c r="O22" i="10"/>
  <c r="AD22" i="10"/>
  <c r="Y22" i="10"/>
  <c r="AK22" i="10"/>
  <c r="AU22" i="10"/>
  <c r="AN22" i="10"/>
  <c r="P22" i="10"/>
  <c r="AY22" i="10"/>
  <c r="L22" i="10"/>
  <c r="W22" i="10"/>
  <c r="BB22" i="10"/>
  <c r="BA22" i="10"/>
  <c r="K22" i="10"/>
  <c r="R22" i="10"/>
  <c r="AS22" i="10"/>
  <c r="AA22" i="10"/>
  <c r="AC22" i="10"/>
  <c r="V22" i="10"/>
  <c r="AV22" i="10"/>
  <c r="AE22" i="10"/>
  <c r="AZ22" i="10"/>
  <c r="AX22" i="10"/>
  <c r="AL22" i="10"/>
  <c r="AD35" i="10"/>
  <c r="AE20" i="11" s="1"/>
  <c r="AE21" i="11" s="1"/>
  <c r="AG35" i="10"/>
  <c r="AH20" i="11" s="1"/>
  <c r="AH21" i="11" s="1"/>
  <c r="Z35" i="10"/>
  <c r="AA20" i="11" s="1"/>
  <c r="AA21" i="11" s="1"/>
  <c r="L35" i="10"/>
  <c r="M20" i="11" s="1"/>
  <c r="M21" i="11" s="1"/>
  <c r="M19" i="11"/>
  <c r="AY35" i="10"/>
  <c r="AZ20" i="11" s="1"/>
  <c r="AZ21" i="11" s="1"/>
  <c r="BB35" i="10"/>
  <c r="BC20" i="11" s="1"/>
  <c r="BC21" i="11" s="1"/>
  <c r="J35" i="10"/>
  <c r="K20" i="11" s="1"/>
  <c r="K21" i="11" s="1"/>
  <c r="K19" i="11"/>
  <c r="N35" i="10"/>
  <c r="O20" i="11" s="1"/>
  <c r="O21" i="11" s="1"/>
  <c r="AH35" i="10"/>
  <c r="AI20" i="11" s="1"/>
  <c r="AI21" i="11" s="1"/>
  <c r="BC35" i="10"/>
  <c r="BD20" i="11" s="1"/>
  <c r="BD21" i="11" s="1"/>
  <c r="AS35" i="10"/>
  <c r="AT20" i="11" s="1"/>
  <c r="AT21" i="11" s="1"/>
  <c r="W35" i="10"/>
  <c r="X20" i="11" s="1"/>
  <c r="X21" i="11" s="1"/>
  <c r="AR35" i="10"/>
  <c r="AS20" i="11" s="1"/>
  <c r="AS21" i="11" s="1"/>
  <c r="AW35" i="10"/>
  <c r="AX20" i="11" s="1"/>
  <c r="AX21" i="11" s="1"/>
  <c r="V35" i="10"/>
  <c r="W20" i="11" s="1"/>
  <c r="W21" i="11" s="1"/>
  <c r="P35" i="10"/>
  <c r="Q20" i="11" s="1"/>
  <c r="Q21" i="11" s="1"/>
  <c r="AU35" i="10"/>
  <c r="AV20" i="11" s="1"/>
  <c r="AV21" i="11" s="1"/>
  <c r="AE35" i="10"/>
  <c r="AF20" i="11" s="1"/>
  <c r="AF21" i="11" s="1"/>
  <c r="AK35" i="10"/>
  <c r="AL20" i="11" s="1"/>
  <c r="AL21" i="11" s="1"/>
  <c r="S35" i="10"/>
  <c r="T20" i="11" s="1"/>
  <c r="T21" i="11" s="1"/>
  <c r="AC35" i="10"/>
  <c r="AD20" i="11" s="1"/>
  <c r="AD21" i="11" s="1"/>
  <c r="AB35" i="10"/>
  <c r="AC20" i="11" s="1"/>
  <c r="AC21" i="11" s="1"/>
  <c r="Y35" i="10"/>
  <c r="Z20" i="11" s="1"/>
  <c r="Z21" i="11" s="1"/>
  <c r="AT35" i="10"/>
  <c r="AU20" i="11" s="1"/>
  <c r="AU21" i="11" s="1"/>
  <c r="X35" i="10"/>
  <c r="Y20" i="11" s="1"/>
  <c r="Y21" i="11" s="1"/>
  <c r="M35" i="10"/>
  <c r="N20" i="11" s="1"/>
  <c r="N21" i="11" s="1"/>
  <c r="AI35" i="10"/>
  <c r="AJ20" i="11" s="1"/>
  <c r="AJ21" i="11" s="1"/>
  <c r="BA35" i="10"/>
  <c r="BB20" i="11" s="1"/>
  <c r="BB21" i="11" s="1"/>
  <c r="C37" i="10"/>
  <c r="AV35" i="10"/>
  <c r="AW20" i="11" s="1"/>
  <c r="AW21" i="11" s="1"/>
  <c r="Q35" i="10"/>
  <c r="R20" i="11" s="1"/>
  <c r="R21" i="11" s="1"/>
  <c r="AP35" i="10"/>
  <c r="AQ20" i="11" s="1"/>
  <c r="AQ21" i="11" s="1"/>
  <c r="AJ35" i="10"/>
  <c r="AK20" i="11" s="1"/>
  <c r="AK21" i="11" s="1"/>
  <c r="AO35" i="10"/>
  <c r="AP20" i="11" s="1"/>
  <c r="AP21" i="11" s="1"/>
  <c r="AN35" i="10"/>
  <c r="AO20" i="11" s="1"/>
  <c r="AO21" i="11" s="1"/>
  <c r="AX35" i="10"/>
  <c r="AY20" i="11" s="1"/>
  <c r="AY21" i="11" s="1"/>
  <c r="AF35" i="10"/>
  <c r="AG20" i="11" s="1"/>
  <c r="AG21" i="11" s="1"/>
  <c r="AL35" i="10"/>
  <c r="AM20" i="11" s="1"/>
  <c r="AM21" i="11" s="1"/>
  <c r="U35" i="10"/>
  <c r="V20" i="11" s="1"/>
  <c r="V21" i="11" s="1"/>
  <c r="AZ35" i="10"/>
  <c r="BA20" i="11" s="1"/>
  <c r="BA21" i="11" s="1"/>
  <c r="O35" i="10"/>
  <c r="P20" i="11" s="1"/>
  <c r="P21" i="11" s="1"/>
  <c r="K35" i="10"/>
  <c r="L20" i="11" s="1"/>
  <c r="L21" i="11" s="1"/>
  <c r="AM35" i="10"/>
  <c r="AN20" i="11" s="1"/>
  <c r="AN21" i="11" s="1"/>
  <c r="T35" i="10"/>
  <c r="U20" i="11" s="1"/>
  <c r="U21" i="11" s="1"/>
  <c r="AA35" i="10"/>
  <c r="AB20" i="11" s="1"/>
  <c r="AB21" i="11" s="1"/>
  <c r="R35" i="10"/>
  <c r="S20" i="11" s="1"/>
  <c r="S21" i="11" s="1"/>
  <c r="AQ35" i="10"/>
  <c r="AR20" i="11" s="1"/>
  <c r="AR21" i="11" s="1"/>
  <c r="C21" i="11" l="1"/>
</calcChain>
</file>

<file path=xl/sharedStrings.xml><?xml version="1.0" encoding="utf-8"?>
<sst xmlns="http://schemas.openxmlformats.org/spreadsheetml/2006/main" count="433" uniqueCount="236">
  <si>
    <t>Forecast Period</t>
  </si>
  <si>
    <t>FIT Tax Rate</t>
  </si>
  <si>
    <t>Levy Rate</t>
  </si>
  <si>
    <t>Revenue Taxes</t>
  </si>
  <si>
    <t>Construction Period Interest</t>
  </si>
  <si>
    <t>Insurance</t>
  </si>
  <si>
    <t>O&amp;M Inflation</t>
  </si>
  <si>
    <t>Capital Inflation</t>
  </si>
  <si>
    <t>Regulated Scenario</t>
  </si>
  <si>
    <t>Yes</t>
  </si>
  <si>
    <t>AFUDC</t>
  </si>
  <si>
    <t>Rate Rate Base Used</t>
  </si>
  <si>
    <t>Average</t>
  </si>
  <si>
    <t>NPV Net CF-&gt;</t>
  </si>
  <si>
    <t>Rate Case</t>
  </si>
  <si>
    <t>Rate Case Lag (yrs)</t>
  </si>
  <si>
    <t>use 0 years for perfect regulation or new resources, use 2 yrs for T&amp;D programs</t>
  </si>
  <si>
    <t>Capital Structure</t>
  </si>
  <si>
    <t>Settlement 2008 General Rate Case, August 2008</t>
  </si>
  <si>
    <t>Cost</t>
  </si>
  <si>
    <t>WACC</t>
  </si>
  <si>
    <t>Short Term Debt</t>
  </si>
  <si>
    <t>Preferred</t>
  </si>
  <si>
    <t>Total</t>
  </si>
  <si>
    <t>Structure</t>
  </si>
  <si>
    <t>After-Tax</t>
  </si>
  <si>
    <t>Long Term Debt</t>
  </si>
  <si>
    <t>Plant Energy (MWh)</t>
  </si>
  <si>
    <t>Price $/MWH</t>
  </si>
  <si>
    <t>Tax Life</t>
  </si>
  <si>
    <t>Close Date</t>
  </si>
  <si>
    <t>Capital Expenditure 9</t>
  </si>
  <si>
    <t>Total Capital</t>
  </si>
  <si>
    <t>Capital Expenditures</t>
  </si>
  <si>
    <t>Captial Expenditures</t>
  </si>
  <si>
    <t>AFUDC Switch</t>
  </si>
  <si>
    <t>Closing to Plant</t>
  </si>
  <si>
    <t>Cumulative Closings</t>
  </si>
  <si>
    <t>Gross Plant</t>
  </si>
  <si>
    <t>Book Depreciation</t>
  </si>
  <si>
    <t>Depreciation Rate</t>
  </si>
  <si>
    <t>Tax Depreciation</t>
  </si>
  <si>
    <t>MACRS</t>
  </si>
  <si>
    <t>Accum Depreciation</t>
  </si>
  <si>
    <t>Accum Tax Depreciation</t>
  </si>
  <si>
    <t>Tax - Book Difference</t>
  </si>
  <si>
    <t>Deferred Tax</t>
  </si>
  <si>
    <t>Accum Deferred Tax</t>
  </si>
  <si>
    <t>Plant Information</t>
  </si>
  <si>
    <t xml:space="preserve">Ratebase </t>
  </si>
  <si>
    <t>Net Plant</t>
  </si>
  <si>
    <t>Ratebase</t>
  </si>
  <si>
    <t>Beginning</t>
  </si>
  <si>
    <t>End of Period</t>
  </si>
  <si>
    <t>Revenue Requirement</t>
  </si>
  <si>
    <t>Revenue Requirement Calculation</t>
  </si>
  <si>
    <t>PreTax Return</t>
  </si>
  <si>
    <t>O&amp;M</t>
  </si>
  <si>
    <t>Revenue Requirement on Plant</t>
  </si>
  <si>
    <t>Property Tax</t>
  </si>
  <si>
    <t>Depreciation</t>
  </si>
  <si>
    <t>Operating Expenses</t>
  </si>
  <si>
    <t>Revenue Taxes Grossup</t>
  </si>
  <si>
    <t>Operating Expenses:</t>
  </si>
  <si>
    <t>Property Taxes</t>
  </si>
  <si>
    <t>Federal Income Tax</t>
  </si>
  <si>
    <t>Current</t>
  </si>
  <si>
    <t>Deferred</t>
  </si>
  <si>
    <t>Total Operating Expenses</t>
  </si>
  <si>
    <t>Operating Income</t>
  </si>
  <si>
    <t>Interest</t>
  </si>
  <si>
    <t>Preferred Dividends</t>
  </si>
  <si>
    <t>Net Income</t>
  </si>
  <si>
    <t>Regulated Revenues</t>
  </si>
  <si>
    <t>Lag 0 year</t>
  </si>
  <si>
    <t>Lag 1 year</t>
  </si>
  <si>
    <t>Lag 2 yrs</t>
  </si>
  <si>
    <t>Project Description</t>
  </si>
  <si>
    <t>Property Tax Rate</t>
  </si>
  <si>
    <t>Wieghted Cost of Interest</t>
  </si>
  <si>
    <t>Cash Flow from Operations</t>
  </si>
  <si>
    <t xml:space="preserve">Earnings Before Interest &amp; Dividends </t>
  </si>
  <si>
    <t>Plus: Book Depreciation</t>
  </si>
  <si>
    <t>Plus: Deferred Taxes</t>
  </si>
  <si>
    <t>Less: Tax Benefit of Interest</t>
  </si>
  <si>
    <t>PV Discount Factor</t>
  </si>
  <si>
    <t>PV Net Cash Flow</t>
  </si>
  <si>
    <t>Cumulative PV Net Cash flow</t>
  </si>
  <si>
    <t>EBITDA</t>
  </si>
  <si>
    <t>Sum of PV of Cash Flow</t>
  </si>
  <si>
    <t>Levelized Revenue Requirement</t>
  </si>
  <si>
    <t>Cash flow</t>
  </si>
  <si>
    <t>PV</t>
  </si>
  <si>
    <t>5 Year Plan Net Income</t>
  </si>
  <si>
    <t>Equity</t>
  </si>
  <si>
    <t>Total Impact</t>
  </si>
  <si>
    <t>Capital</t>
  </si>
  <si>
    <t>Units</t>
  </si>
  <si>
    <t>Cost/Unit</t>
  </si>
  <si>
    <t>ROE</t>
  </si>
  <si>
    <t>5 Year Plan ROE</t>
  </si>
  <si>
    <t>Net Cash Flow</t>
  </si>
  <si>
    <t>After Tax Revenue</t>
  </si>
  <si>
    <t>Cash Flow Costs</t>
  </si>
  <si>
    <t>Cash Flow of Costs</t>
  </si>
  <si>
    <t>FIT</t>
  </si>
  <si>
    <t xml:space="preserve">Revenue </t>
  </si>
  <si>
    <t>Revenue Cash Flow</t>
  </si>
  <si>
    <t>Revenue Cash Flow No Lag</t>
  </si>
  <si>
    <t>Revenue Cash Flow 1 Year Lag</t>
  </si>
  <si>
    <t>Revenue Cash Flow 2 Year Lag</t>
  </si>
  <si>
    <t>1 Year Lag Cash Flow</t>
  </si>
  <si>
    <t>2 Year Lag Cash Flow</t>
  </si>
  <si>
    <t>Cash Flow Impact of Lag</t>
  </si>
  <si>
    <t xml:space="preserve"> Count for Payback</t>
  </si>
  <si>
    <t>PV of Costs Only</t>
  </si>
  <si>
    <t>Discount Factor</t>
  </si>
  <si>
    <t>PV Cash Flow</t>
  </si>
  <si>
    <t>End Effects</t>
  </si>
  <si>
    <t>Total Revenue Requirement</t>
  </si>
  <si>
    <t>Electric Revenue</t>
  </si>
  <si>
    <t>Gas Revenue</t>
  </si>
  <si>
    <t>Total Revenue</t>
  </si>
  <si>
    <t>Revenue 5 Year Plan</t>
  </si>
  <si>
    <t>% Rate Impact</t>
  </si>
  <si>
    <t>Income Statement</t>
  </si>
  <si>
    <t>Cash Flow from Operations with Revenue Requirement</t>
  </si>
  <si>
    <t>Addback Depreciation</t>
  </si>
  <si>
    <t>Addback Taxes</t>
  </si>
  <si>
    <t>Discounted Cash Flow Calculation</t>
  </si>
  <si>
    <t>Cash Flow of Costs Only (No Revenue Requirement)</t>
  </si>
  <si>
    <t>Cash Flow</t>
  </si>
  <si>
    <t>Operating Cash Flow</t>
  </si>
  <si>
    <t>Fixed Charge Rate</t>
  </si>
  <si>
    <t>Captial Expenditures + AFUDC</t>
  </si>
  <si>
    <t>Add Back Depreciation</t>
  </si>
  <si>
    <t>Add Back Deferred Taxes</t>
  </si>
  <si>
    <t>OMRC</t>
  </si>
  <si>
    <t>O&amp;M Savings</t>
  </si>
  <si>
    <t>Incremental O&amp;M Expense</t>
  </si>
  <si>
    <t>Incremental Revenue</t>
  </si>
  <si>
    <t>Expenses</t>
  </si>
  <si>
    <t>Financial Assumptions</t>
  </si>
  <si>
    <t>Common Equity</t>
  </si>
  <si>
    <t>PreTax Return (Equity Investor Discount Rate)</t>
  </si>
  <si>
    <t>OPEX Assumptions</t>
  </si>
  <si>
    <t>*</t>
  </si>
  <si>
    <t>CAPEX Assumptions</t>
  </si>
  <si>
    <t>Results Calculation</t>
  </si>
  <si>
    <t>Capital Results</t>
  </si>
  <si>
    <t>Financial Metrics from 5 Year Plan</t>
  </si>
  <si>
    <t>2015 Approved Plan</t>
  </si>
  <si>
    <t>Processing Flag (drives other calcs across the workbook)</t>
  </si>
  <si>
    <t>PreTax Costs to be Collected from Customer</t>
  </si>
  <si>
    <t>Total OPEX (before escalation)</t>
  </si>
  <si>
    <t xml:space="preserve">(2) use straight line depreciation for book deprec; use MACRS depreciation for tax deprec.  The federal income tax rate is applied to the (delta b/w accumulated book deprec and accumulated tax deprec) to arrive at a deferred tax.  The deferred tax is a 'source' of cash flow </t>
  </si>
  <si>
    <t>Total Capital (Cumulative)</t>
  </si>
  <si>
    <t>Total Yearly Book Depreciation</t>
  </si>
  <si>
    <t>Total Yearly Tax Depreciation</t>
  </si>
  <si>
    <t>FERC Depreciable Life</t>
  </si>
  <si>
    <t>IRS Depreciable Life</t>
  </si>
  <si>
    <t>Depreciable Asset</t>
  </si>
  <si>
    <t>IRS/Tax Depreciable Life</t>
  </si>
  <si>
    <t>need this tab??</t>
  </si>
  <si>
    <t>Deprec Life</t>
  </si>
  <si>
    <t>Commercial Property</t>
  </si>
  <si>
    <t>Total AFUDC</t>
  </si>
  <si>
    <t>Zero Var check</t>
  </si>
  <si>
    <t>yes</t>
  </si>
  <si>
    <t>Project Start Year</t>
  </si>
  <si>
    <t>Yr Asset Will be In Service</t>
  </si>
  <si>
    <t>Current Year</t>
  </si>
  <si>
    <t>Increm Costs/Benefits</t>
  </si>
  <si>
    <t>Cash flow is modeled through the asset's full FERC depreciable life</t>
  </si>
  <si>
    <t>IRS Depreciation Schedule</t>
  </si>
  <si>
    <t>QUESTION:  WHAT DOES THIS MEASURE TELL US?</t>
  </si>
  <si>
    <t>FINANCIAL SUMMARY</t>
  </si>
  <si>
    <t>CAPITAL AND OPERATING COSTS</t>
  </si>
  <si>
    <t>TOTAL</t>
  </si>
  <si>
    <t xml:space="preserve">  Previously Incurred Costs </t>
  </si>
  <si>
    <t xml:space="preserve">  Initiation</t>
  </si>
  <si>
    <t xml:space="preserve">  Planning</t>
  </si>
  <si>
    <t xml:space="preserve">  Design</t>
  </si>
  <si>
    <t xml:space="preserve">  Execution</t>
  </si>
  <si>
    <t xml:space="preserve">  Close-out</t>
  </si>
  <si>
    <t xml:space="preserve">  Contingency - Base</t>
  </si>
  <si>
    <t xml:space="preserve">  Contingency - Reserve</t>
  </si>
  <si>
    <t xml:space="preserve">  Incremental O&amp;M Expense</t>
  </si>
  <si>
    <t xml:space="preserve">  Incremental Revenue</t>
  </si>
  <si>
    <t xml:space="preserve">  O&amp;M Savings</t>
  </si>
  <si>
    <t>INCOME STATEMENT</t>
  </si>
  <si>
    <t>CASH FLOW SUMMARY</t>
  </si>
  <si>
    <t>Assumes Perfect Regulation</t>
  </si>
  <si>
    <t xml:space="preserve">  O&amp;M</t>
  </si>
  <si>
    <t xml:space="preserve">  OMRC</t>
  </si>
  <si>
    <t xml:space="preserve">  Depreciation</t>
  </si>
  <si>
    <t xml:space="preserve">  Revenue Taxes</t>
  </si>
  <si>
    <t xml:space="preserve">  Taxes</t>
  </si>
  <si>
    <t>Yr Fully Depreciated (FERC)</t>
  </si>
  <si>
    <t>FERC Depreciable Life (yrs)</t>
  </si>
  <si>
    <t>CAPEX (excl AFUDC)</t>
  </si>
  <si>
    <t>In 5-yr Plan?</t>
  </si>
  <si>
    <t>Cost to Customer: PV Rev Rqmt</t>
  </si>
  <si>
    <t>PV Revenue Requirement</t>
  </si>
  <si>
    <t>Cumulative Net Cash Flow (to identify payback yr)</t>
  </si>
  <si>
    <t>Payback Period (yrs)</t>
  </si>
  <si>
    <t>NPV, includes Rev Rqmt</t>
  </si>
  <si>
    <t>5 Year Plan Equity</t>
  </si>
  <si>
    <t>EBITDA Calculation:</t>
  </si>
  <si>
    <t>ROE Calculation:</t>
  </si>
  <si>
    <t>Post Project:  ROE</t>
  </si>
  <si>
    <t>Existing 5 YR Plan: Net Income</t>
  </si>
  <si>
    <t>Existing 5 YR Plan: Equity</t>
  </si>
  <si>
    <t>Existing 5 YR Plan:  ROE</t>
  </si>
  <si>
    <t>Return on Rate Base</t>
  </si>
  <si>
    <r>
      <t xml:space="preserve">Yr Asset Placed In Service </t>
    </r>
    <r>
      <rPr>
        <b/>
        <vertAlign val="superscript"/>
        <sz val="10"/>
        <rFont val="Calibri"/>
        <family val="2"/>
        <scheme val="minor"/>
      </rPr>
      <t>(1)</t>
    </r>
  </si>
  <si>
    <t>In-Service Yr</t>
  </si>
  <si>
    <r>
      <t xml:space="preserve">AFUDC </t>
    </r>
    <r>
      <rPr>
        <b/>
        <vertAlign val="superscript"/>
        <sz val="9"/>
        <rFont val="Calibri"/>
        <family val="2"/>
        <scheme val="minor"/>
      </rPr>
      <t>(1)</t>
    </r>
  </si>
  <si>
    <t>(1) Assumes that the entire project will be capitalized at the project completion year since that represents when the asset is put into service and can be included in rate base.  Also assuming that this is the year that AFUDC stops being recognized.</t>
  </si>
  <si>
    <t>(1) Assuming that AFUDC is recognized while the project is under construction and stops the year that the project is placed in service.  AFUDC is applied to the cumulative construction costs and pauses in years when the project is deferred or in the year that the project is placed in service.</t>
  </si>
  <si>
    <r>
      <t xml:space="preserve">Depreciable </t>
    </r>
    <r>
      <rPr>
        <b/>
        <vertAlign val="superscript"/>
        <sz val="10"/>
        <rFont val="Calibri"/>
        <family val="2"/>
        <scheme val="minor"/>
      </rPr>
      <t>(2)</t>
    </r>
  </si>
  <si>
    <t>Capital Expenditure 1</t>
  </si>
  <si>
    <t>Capital Expenditure 2</t>
  </si>
  <si>
    <t>Capital Expenditure 3</t>
  </si>
  <si>
    <t xml:space="preserve">Capital Expenditure 4 </t>
  </si>
  <si>
    <t xml:space="preserve">Capital Expenditure 5 </t>
  </si>
  <si>
    <t xml:space="preserve">Capital Expenditure 6 </t>
  </si>
  <si>
    <t>Capital Expenditure 7</t>
  </si>
  <si>
    <t>Capital Expenditure 8</t>
  </si>
  <si>
    <t>Capital Expenditure 10</t>
  </si>
  <si>
    <t>Capital Expenditure 11</t>
  </si>
  <si>
    <t>2023+</t>
  </si>
  <si>
    <t xml:space="preserve">AMI Model </t>
  </si>
  <si>
    <t>Cost to Customer PV Rev Rqmt</t>
  </si>
  <si>
    <t>Capital Expenditure 12</t>
  </si>
  <si>
    <t xml:space="preserve">AMI 6yr Incremental Analysis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</si>
</sst>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0.000%"/>
    <numFmt numFmtId="166" formatCode="_(&quot;$&quot;* #,##0_);_(&quot;$&quot;* \(#,##0\);_(&quot;$&quot;* &quot;-&quot;??_);_(@_)"/>
    <numFmt numFmtId="167" formatCode="0_);\(0\)"/>
    <numFmt numFmtId="168" formatCode="_(* #,##0_);_(* \(#,##0\);_(* &quot;-&quot;??_);_(@_)"/>
    <numFmt numFmtId="169" formatCode="0.0000"/>
    <numFmt numFmtId="170" formatCode="0000000"/>
    <numFmt numFmtId="171" formatCode="_(* #,##0.000_);_(* \(#,##0.000\);_(* &quot;-&quot;???_);_(@_)"/>
    <numFmt numFmtId="172" formatCode="_(* #,##0.000_);_(* \(#,##0.000\);_(* &quot;-&quot;_);_(@_)"/>
    <numFmt numFmtId="173" formatCode="_-* #,##0.00\ _D_M_-;\-* #,##0.00\ _D_M_-;_-* &quot;-&quot;??\ _D_M_-;_-@_-"/>
    <numFmt numFmtId="174" formatCode="0.000000"/>
    <numFmt numFmtId="175" formatCode="&quot;$&quot;#,##0"/>
    <numFmt numFmtId="176" formatCode="0.000"/>
  </numFmts>
  <fonts count="62">
    <font>
      <sz val="11"/>
      <color theme="1"/>
      <name val="Calibri"/>
      <family val="2"/>
      <scheme val="minor"/>
    </font>
    <font>
      <sz val="12"/>
      <name val="Arial"/>
      <family val="2"/>
    </font>
    <font>
      <sz val="8"/>
      <name val="Arial"/>
      <family val="2"/>
    </font>
    <font>
      <sz val="11"/>
      <color theme="1"/>
      <name val="Calibri"/>
      <family val="2"/>
      <scheme val="minor"/>
    </font>
    <font>
      <b/>
      <sz val="11"/>
      <color theme="1"/>
      <name val="Calibri"/>
      <family val="2"/>
      <scheme val="minor"/>
    </font>
    <font>
      <sz val="10"/>
      <name val="Arial"/>
      <family val="2"/>
    </font>
    <font>
      <sz val="10"/>
      <name val="Geneva"/>
    </font>
    <font>
      <sz val="10"/>
      <name val="Courier"/>
      <family val="3"/>
    </font>
    <font>
      <sz val="10"/>
      <color indexed="8"/>
      <name val="Calibri"/>
      <family val="2"/>
    </font>
    <font>
      <sz val="11"/>
      <color indexed="8"/>
      <name val="Calibri"/>
      <family val="2"/>
    </font>
    <font>
      <sz val="11"/>
      <color indexed="9"/>
      <name val="Calibri"/>
      <family val="2"/>
    </font>
    <font>
      <b/>
      <sz val="11"/>
      <color indexed="8"/>
      <name val="Calibri"/>
      <family val="2"/>
    </font>
    <font>
      <u/>
      <sz val="10"/>
      <color indexed="12"/>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1"/>
      <name val="Calibri"/>
      <family val="2"/>
      <scheme val="minor"/>
    </font>
    <font>
      <sz val="11"/>
      <name val="Calibri"/>
      <family val="2"/>
      <scheme val="minor"/>
    </font>
    <font>
      <sz val="7"/>
      <color indexed="10"/>
      <name val="Arial"/>
      <family val="2"/>
    </font>
    <font>
      <sz val="9"/>
      <name val="Calibri"/>
      <family val="2"/>
      <scheme val="minor"/>
    </font>
    <font>
      <sz val="9"/>
      <color theme="1"/>
      <name val="Calibri"/>
      <family val="2"/>
      <scheme val="minor"/>
    </font>
    <font>
      <sz val="10"/>
      <name val="Calibri"/>
      <family val="2"/>
      <scheme val="minor"/>
    </font>
    <font>
      <sz val="10"/>
      <color theme="1"/>
      <name val="Calibri"/>
      <family val="2"/>
      <scheme val="minor"/>
    </font>
    <font>
      <b/>
      <sz val="10"/>
      <name val="Calibri"/>
      <family val="2"/>
      <scheme val="minor"/>
    </font>
    <font>
      <u/>
      <sz val="10"/>
      <name val="Calibri"/>
      <family val="2"/>
      <scheme val="minor"/>
    </font>
    <font>
      <b/>
      <sz val="10"/>
      <color theme="1"/>
      <name val="Calibri"/>
      <family val="2"/>
      <scheme val="minor"/>
    </font>
    <font>
      <b/>
      <sz val="9"/>
      <color theme="1"/>
      <name val="Calibri"/>
      <family val="2"/>
      <scheme val="minor"/>
    </font>
    <font>
      <b/>
      <sz val="9"/>
      <name val="Calibri"/>
      <family val="2"/>
      <scheme val="minor"/>
    </font>
    <font>
      <sz val="9"/>
      <color indexed="61"/>
      <name val="Calibri"/>
      <family val="2"/>
      <scheme val="minor"/>
    </font>
    <font>
      <i/>
      <sz val="11"/>
      <name val="Calibri"/>
      <family val="2"/>
      <scheme val="minor"/>
    </font>
    <font>
      <i/>
      <sz val="10"/>
      <name val="Calibri"/>
      <family val="2"/>
      <scheme val="minor"/>
    </font>
    <font>
      <sz val="9"/>
      <color rgb="FFC00000"/>
      <name val="Calibri"/>
      <family val="2"/>
      <scheme val="minor"/>
    </font>
    <font>
      <sz val="10"/>
      <color rgb="FFFF0000"/>
      <name val="Calibri"/>
      <family val="2"/>
      <scheme val="minor"/>
    </font>
    <font>
      <i/>
      <sz val="10"/>
      <color theme="1"/>
      <name val="Calibri"/>
      <family val="2"/>
      <scheme val="minor"/>
    </font>
    <font>
      <sz val="10"/>
      <color theme="0" tint="-0.34998626667073579"/>
      <name val="Calibri"/>
      <family val="2"/>
      <scheme val="minor"/>
    </font>
    <font>
      <b/>
      <u/>
      <sz val="10"/>
      <name val="Calibri"/>
      <family val="2"/>
      <scheme val="minor"/>
    </font>
    <font>
      <sz val="10"/>
      <color theme="0" tint="-0.249977111117893"/>
      <name val="Calibri"/>
      <family val="2"/>
      <scheme val="minor"/>
    </font>
    <font>
      <sz val="10"/>
      <color rgb="FFC00000"/>
      <name val="Calibri"/>
      <family val="2"/>
      <scheme val="minor"/>
    </font>
    <font>
      <b/>
      <sz val="10"/>
      <color rgb="FFC00000"/>
      <name val="Calibri"/>
      <family val="2"/>
      <scheme val="minor"/>
    </font>
    <font>
      <b/>
      <sz val="10"/>
      <color theme="0" tint="-0.249977111117893"/>
      <name val="Calibri"/>
      <family val="2"/>
      <scheme val="minor"/>
    </font>
    <font>
      <b/>
      <sz val="10"/>
      <color rgb="FFFF0000"/>
      <name val="Calibri"/>
      <family val="2"/>
      <scheme val="minor"/>
    </font>
    <font>
      <b/>
      <vertAlign val="superscript"/>
      <sz val="10"/>
      <name val="Calibri"/>
      <family val="2"/>
      <scheme val="minor"/>
    </font>
    <font>
      <b/>
      <i/>
      <sz val="11"/>
      <name val="Calibri"/>
      <family val="2"/>
      <scheme val="minor"/>
    </font>
    <font>
      <b/>
      <i/>
      <sz val="9"/>
      <name val="Calibri"/>
      <family val="2"/>
      <scheme val="minor"/>
    </font>
    <font>
      <i/>
      <sz val="9"/>
      <name val="Calibri"/>
      <family val="2"/>
      <scheme val="minor"/>
    </font>
    <font>
      <i/>
      <sz val="9"/>
      <color theme="1"/>
      <name val="Calibri"/>
      <family val="2"/>
      <scheme val="minor"/>
    </font>
    <font>
      <sz val="9"/>
      <color theme="0" tint="-0.34998626667073579"/>
      <name val="Calibri"/>
      <family val="2"/>
      <scheme val="minor"/>
    </font>
    <font>
      <sz val="9"/>
      <color theme="0" tint="-0.249977111117893"/>
      <name val="Calibri"/>
      <family val="2"/>
      <scheme val="minor"/>
    </font>
    <font>
      <i/>
      <sz val="9"/>
      <color theme="0" tint="-0.249977111117893"/>
      <name val="Calibri"/>
      <family val="2"/>
      <scheme val="minor"/>
    </font>
    <font>
      <b/>
      <sz val="9"/>
      <color rgb="FFC00000"/>
      <name val="Calibri"/>
      <family val="2"/>
      <scheme val="minor"/>
    </font>
    <font>
      <b/>
      <sz val="9"/>
      <color theme="0" tint="-0.34998626667073579"/>
      <name val="Calibri"/>
      <family val="2"/>
      <scheme val="minor"/>
    </font>
    <font>
      <i/>
      <sz val="9"/>
      <color theme="0" tint="-0.34998626667073579"/>
      <name val="Calibri"/>
      <family val="2"/>
      <scheme val="minor"/>
    </font>
    <font>
      <b/>
      <i/>
      <sz val="10"/>
      <name val="Calibri"/>
      <family val="2"/>
      <scheme val="minor"/>
    </font>
    <font>
      <i/>
      <sz val="11"/>
      <color theme="1"/>
      <name val="Calibri"/>
      <family val="2"/>
      <scheme val="minor"/>
    </font>
    <font>
      <sz val="11"/>
      <color rgb="FFC00000"/>
      <name val="Calibri"/>
      <family val="2"/>
      <scheme val="minor"/>
    </font>
    <font>
      <sz val="12"/>
      <color rgb="FFFF0000"/>
      <name val="Calibri"/>
      <family val="2"/>
      <scheme val="minor"/>
    </font>
    <font>
      <b/>
      <vertAlign val="superscript"/>
      <sz val="9"/>
      <name val="Calibri"/>
      <family val="2"/>
      <scheme val="minor"/>
    </font>
  </fonts>
  <fills count="41">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s>
  <borders count="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style="double">
        <color indexed="64"/>
      </bottom>
      <diagonal/>
    </border>
    <border>
      <left/>
      <right/>
      <top/>
      <bottom style="hair">
        <color auto="1"/>
      </bottom>
      <diagonal/>
    </border>
  </borders>
  <cellStyleXfs count="108">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43" fontId="5" fillId="0" borderId="0" applyFont="0" applyFill="0" applyBorder="0" applyAlignment="0" applyProtection="0"/>
    <xf numFmtId="38" fontId="2" fillId="4" borderId="0" applyNumberFormat="0" applyBorder="0" applyAlignment="0" applyProtection="0"/>
    <xf numFmtId="10" fontId="2" fillId="5" borderId="2" applyNumberFormat="0" applyBorder="0" applyAlignment="0" applyProtection="0"/>
    <xf numFmtId="170" fontId="6" fillId="0" borderId="0"/>
    <xf numFmtId="0" fontId="5" fillId="0" borderId="0"/>
    <xf numFmtId="0" fontId="7" fillId="0" borderId="0"/>
    <xf numFmtId="0" fontId="8" fillId="0" borderId="0"/>
    <xf numFmtId="10" fontId="5" fillId="0" borderId="0" applyFont="0" applyFill="0" applyBorder="0" applyAlignment="0" applyProtection="0"/>
    <xf numFmtId="9" fontId="5" fillId="0" borderId="0" applyFont="0" applyFill="0" applyBorder="0" applyAlignment="0" applyProtection="0"/>
    <xf numFmtId="0" fontId="9" fillId="6" borderId="0" applyNumberFormat="0" applyBorder="0" applyAlignment="0" applyProtection="0"/>
    <xf numFmtId="0" fontId="9" fillId="7" borderId="0" applyNumberFormat="0" applyBorder="0" applyAlignment="0" applyProtection="0"/>
    <xf numFmtId="0" fontId="10"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0" fillId="7"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10" fillId="16" borderId="0" applyNumberFormat="0" applyBorder="0" applyAlignment="0" applyProtection="0"/>
    <xf numFmtId="173" fontId="5" fillId="0" borderId="0" applyFont="0" applyFill="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4" fontId="13" fillId="20" borderId="3" applyNumberFormat="0" applyProtection="0">
      <alignment vertical="center"/>
    </xf>
    <xf numFmtId="4" fontId="14" fillId="20" borderId="3" applyNumberFormat="0" applyProtection="0">
      <alignment vertical="center"/>
    </xf>
    <xf numFmtId="4" fontId="13" fillId="20" borderId="3" applyNumberFormat="0" applyProtection="0">
      <alignment horizontal="left" vertical="center" indent="1"/>
    </xf>
    <xf numFmtId="0" fontId="13" fillId="20" borderId="3" applyNumberFormat="0" applyProtection="0">
      <alignment horizontal="left" vertical="top" indent="1"/>
    </xf>
    <xf numFmtId="4" fontId="13" fillId="21" borderId="0" applyNumberFormat="0" applyProtection="0">
      <alignment horizontal="left" vertical="center" indent="1"/>
    </xf>
    <xf numFmtId="4" fontId="15" fillId="22" borderId="3" applyNumberFormat="0" applyProtection="0">
      <alignment horizontal="right" vertical="center"/>
    </xf>
    <xf numFmtId="4" fontId="15" fillId="23" borderId="3" applyNumberFormat="0" applyProtection="0">
      <alignment horizontal="right" vertical="center"/>
    </xf>
    <xf numFmtId="4" fontId="15" fillId="24" borderId="3" applyNumberFormat="0" applyProtection="0">
      <alignment horizontal="right" vertical="center"/>
    </xf>
    <xf numFmtId="4" fontId="15" fillId="25" borderId="3" applyNumberFormat="0" applyProtection="0">
      <alignment horizontal="right" vertical="center"/>
    </xf>
    <xf numFmtId="4" fontId="15" fillId="26" borderId="3" applyNumberFormat="0" applyProtection="0">
      <alignment horizontal="right" vertical="center"/>
    </xf>
    <xf numFmtId="4" fontId="15" fillId="27" borderId="3" applyNumberFormat="0" applyProtection="0">
      <alignment horizontal="right" vertical="center"/>
    </xf>
    <xf numFmtId="4" fontId="15" fillId="28" borderId="3" applyNumberFormat="0" applyProtection="0">
      <alignment horizontal="right" vertical="center"/>
    </xf>
    <xf numFmtId="4" fontId="15" fillId="29" borderId="3" applyNumberFormat="0" applyProtection="0">
      <alignment horizontal="right" vertical="center"/>
    </xf>
    <xf numFmtId="4" fontId="15" fillId="30" borderId="3" applyNumberFormat="0" applyProtection="0">
      <alignment horizontal="right" vertical="center"/>
    </xf>
    <xf numFmtId="4" fontId="13" fillId="31" borderId="4" applyNumberFormat="0" applyProtection="0">
      <alignment horizontal="left" vertical="center" indent="1"/>
    </xf>
    <xf numFmtId="4" fontId="15" fillId="32" borderId="0" applyNumberFormat="0" applyProtection="0">
      <alignment horizontal="left" vertical="center" indent="1"/>
    </xf>
    <xf numFmtId="4" fontId="16" fillId="33" borderId="0" applyNumberFormat="0" applyProtection="0">
      <alignment horizontal="left" vertical="center" indent="1"/>
    </xf>
    <xf numFmtId="4" fontId="16" fillId="33" borderId="0" applyNumberFormat="0" applyProtection="0">
      <alignment horizontal="left" vertical="center" indent="1"/>
    </xf>
    <xf numFmtId="4" fontId="16" fillId="33" borderId="0" applyNumberFormat="0" applyProtection="0">
      <alignment horizontal="left" vertical="center" indent="1"/>
    </xf>
    <xf numFmtId="4" fontId="15" fillId="21" borderId="3" applyNumberFormat="0" applyProtection="0">
      <alignment horizontal="right" vertical="center"/>
    </xf>
    <xf numFmtId="4" fontId="15" fillId="32" borderId="0" applyNumberFormat="0" applyProtection="0">
      <alignment horizontal="left" vertical="center" indent="1"/>
    </xf>
    <xf numFmtId="4" fontId="15" fillId="32" borderId="0" applyNumberFormat="0" applyProtection="0">
      <alignment horizontal="left" vertical="center" indent="1"/>
    </xf>
    <xf numFmtId="4" fontId="15" fillId="32" borderId="0" applyNumberFormat="0" applyProtection="0">
      <alignment horizontal="left" vertical="center" indent="1"/>
    </xf>
    <xf numFmtId="4" fontId="15" fillId="21" borderId="0" applyNumberFormat="0" applyProtection="0">
      <alignment horizontal="left" vertical="center" indent="1"/>
    </xf>
    <xf numFmtId="4" fontId="15" fillId="21" borderId="0" applyNumberFormat="0" applyProtection="0">
      <alignment horizontal="left" vertical="center" indent="1"/>
    </xf>
    <xf numFmtId="4" fontId="15" fillId="21" borderId="0" applyNumberFormat="0" applyProtection="0">
      <alignment horizontal="left" vertical="center" indent="1"/>
    </xf>
    <xf numFmtId="0" fontId="5" fillId="33" borderId="3" applyNumberFormat="0" applyProtection="0">
      <alignment horizontal="left" vertical="center" indent="1"/>
    </xf>
    <xf numFmtId="0" fontId="5" fillId="33" borderId="3" applyNumberFormat="0" applyProtection="0">
      <alignment horizontal="left" vertical="center" indent="1"/>
    </xf>
    <xf numFmtId="0" fontId="5" fillId="33" borderId="3" applyNumberFormat="0" applyProtection="0">
      <alignment horizontal="left" vertical="center" indent="1"/>
    </xf>
    <xf numFmtId="0" fontId="5" fillId="33" borderId="3" applyNumberFormat="0" applyProtection="0">
      <alignment horizontal="left" vertical="top" indent="1"/>
    </xf>
    <xf numFmtId="0" fontId="5" fillId="33" borderId="3" applyNumberFormat="0" applyProtection="0">
      <alignment horizontal="left" vertical="top" indent="1"/>
    </xf>
    <xf numFmtId="0" fontId="5" fillId="33" borderId="3" applyNumberFormat="0" applyProtection="0">
      <alignment horizontal="left" vertical="top" indent="1"/>
    </xf>
    <xf numFmtId="0" fontId="5" fillId="21" borderId="3" applyNumberFormat="0" applyProtection="0">
      <alignment horizontal="left" vertical="center" indent="1"/>
    </xf>
    <xf numFmtId="0" fontId="5" fillId="21" borderId="3" applyNumberFormat="0" applyProtection="0">
      <alignment horizontal="left" vertical="center" indent="1"/>
    </xf>
    <xf numFmtId="0" fontId="5" fillId="21" borderId="3" applyNumberFormat="0" applyProtection="0">
      <alignment horizontal="left" vertical="center" indent="1"/>
    </xf>
    <xf numFmtId="0" fontId="5" fillId="21" borderId="3" applyNumberFormat="0" applyProtection="0">
      <alignment horizontal="left" vertical="top" indent="1"/>
    </xf>
    <xf numFmtId="0" fontId="5" fillId="21" borderId="3" applyNumberFormat="0" applyProtection="0">
      <alignment horizontal="left" vertical="top" indent="1"/>
    </xf>
    <xf numFmtId="0" fontId="5" fillId="21" borderId="3" applyNumberFormat="0" applyProtection="0">
      <alignment horizontal="left" vertical="top" indent="1"/>
    </xf>
    <xf numFmtId="0" fontId="5" fillId="34" borderId="3" applyNumberFormat="0" applyProtection="0">
      <alignment horizontal="left" vertical="center" indent="1"/>
    </xf>
    <xf numFmtId="0" fontId="5" fillId="34" borderId="3" applyNumberFormat="0" applyProtection="0">
      <alignment horizontal="left" vertical="center" indent="1"/>
    </xf>
    <xf numFmtId="0" fontId="5" fillId="34" borderId="3" applyNumberFormat="0" applyProtection="0">
      <alignment horizontal="left" vertical="center" indent="1"/>
    </xf>
    <xf numFmtId="0" fontId="5" fillId="34" borderId="3" applyNumberFormat="0" applyProtection="0">
      <alignment horizontal="left" vertical="top" indent="1"/>
    </xf>
    <xf numFmtId="0" fontId="5" fillId="34" borderId="3" applyNumberFormat="0" applyProtection="0">
      <alignment horizontal="left" vertical="top" indent="1"/>
    </xf>
    <xf numFmtId="0" fontId="5" fillId="34" borderId="3" applyNumberFormat="0" applyProtection="0">
      <alignment horizontal="left" vertical="top" indent="1"/>
    </xf>
    <xf numFmtId="0" fontId="5" fillId="32" borderId="3" applyNumberFormat="0" applyProtection="0">
      <alignment horizontal="left" vertical="center" indent="1"/>
    </xf>
    <xf numFmtId="0" fontId="5" fillId="32" borderId="3" applyNumberFormat="0" applyProtection="0">
      <alignment horizontal="left" vertical="center" indent="1"/>
    </xf>
    <xf numFmtId="0" fontId="5" fillId="32" borderId="3" applyNumberFormat="0" applyProtection="0">
      <alignment horizontal="left" vertical="center" indent="1"/>
    </xf>
    <xf numFmtId="0" fontId="5" fillId="32" borderId="3" applyNumberFormat="0" applyProtection="0">
      <alignment horizontal="left" vertical="top" indent="1"/>
    </xf>
    <xf numFmtId="0" fontId="5" fillId="32" borderId="3" applyNumberFormat="0" applyProtection="0">
      <alignment horizontal="left" vertical="top" indent="1"/>
    </xf>
    <xf numFmtId="0" fontId="5" fillId="32" borderId="3" applyNumberFormat="0" applyProtection="0">
      <alignment horizontal="left" vertical="top" indent="1"/>
    </xf>
    <xf numFmtId="0" fontId="5" fillId="35" borderId="2" applyNumberFormat="0">
      <protection locked="0"/>
    </xf>
    <xf numFmtId="0" fontId="5" fillId="35" borderId="2" applyNumberFormat="0">
      <protection locked="0"/>
    </xf>
    <xf numFmtId="0" fontId="5" fillId="35" borderId="2" applyNumberFormat="0">
      <protection locked="0"/>
    </xf>
    <xf numFmtId="4" fontId="15" fillId="36" borderId="3" applyNumberFormat="0" applyProtection="0">
      <alignment vertical="center"/>
    </xf>
    <xf numFmtId="4" fontId="17" fillId="36" borderId="3" applyNumberFormat="0" applyProtection="0">
      <alignment vertical="center"/>
    </xf>
    <xf numFmtId="4" fontId="15" fillId="36" borderId="3" applyNumberFormat="0" applyProtection="0">
      <alignment horizontal="left" vertical="center" indent="1"/>
    </xf>
    <xf numFmtId="0" fontId="15" fillId="36" borderId="3" applyNumberFormat="0" applyProtection="0">
      <alignment horizontal="left" vertical="top" indent="1"/>
    </xf>
    <xf numFmtId="4" fontId="15" fillId="32" borderId="3" applyNumberFormat="0" applyProtection="0">
      <alignment horizontal="right" vertical="center"/>
    </xf>
    <xf numFmtId="4" fontId="17" fillId="32" borderId="3" applyNumberFormat="0" applyProtection="0">
      <alignment horizontal="right" vertical="center"/>
    </xf>
    <xf numFmtId="4" fontId="15" fillId="21" borderId="3" applyNumberFormat="0" applyProtection="0">
      <alignment horizontal="left" vertical="center" indent="1"/>
    </xf>
    <xf numFmtId="0" fontId="15" fillId="21" borderId="3" applyNumberFormat="0" applyProtection="0">
      <alignment horizontal="left" vertical="top" indent="1"/>
    </xf>
    <xf numFmtId="4" fontId="18" fillId="37" borderId="0" applyNumberFormat="0" applyProtection="0">
      <alignment horizontal="left" vertical="center" indent="1"/>
    </xf>
    <xf numFmtId="4" fontId="18" fillId="37" borderId="0" applyNumberFormat="0" applyProtection="0">
      <alignment horizontal="left" vertical="center" indent="1"/>
    </xf>
    <xf numFmtId="4" fontId="18" fillId="37" borderId="0" applyNumberFormat="0" applyProtection="0">
      <alignment horizontal="left" vertical="center" indent="1"/>
    </xf>
    <xf numFmtId="4" fontId="19" fillId="32" borderId="3" applyNumberFormat="0" applyProtection="0">
      <alignment horizontal="right" vertical="center"/>
    </xf>
    <xf numFmtId="0" fontId="20" fillId="0" borderId="0" applyNumberFormat="0" applyFill="0" applyBorder="0" applyAlignment="0" applyProtection="0"/>
    <xf numFmtId="0" fontId="5" fillId="0" borderId="0"/>
    <xf numFmtId="173" fontId="5" fillId="0" borderId="0" applyFont="0" applyFill="0" applyBorder="0" applyAlignment="0" applyProtection="0"/>
    <xf numFmtId="174" fontId="5" fillId="0" borderId="0">
      <alignment horizontal="left" wrapText="1"/>
    </xf>
    <xf numFmtId="0" fontId="23" fillId="0" borderId="0" applyFont="0"/>
  </cellStyleXfs>
  <cellXfs count="370">
    <xf numFmtId="0" fontId="0" fillId="0" borderId="0" xfId="0"/>
    <xf numFmtId="0" fontId="4" fillId="0" borderId="0" xfId="0" applyFont="1"/>
    <xf numFmtId="0" fontId="24" fillId="0" borderId="0" xfId="3" applyFont="1"/>
    <xf numFmtId="0" fontId="25" fillId="0" borderId="0" xfId="0" applyFont="1"/>
    <xf numFmtId="0" fontId="26" fillId="0" borderId="0" xfId="3" applyFont="1"/>
    <xf numFmtId="0" fontId="27" fillId="0" borderId="0" xfId="0" applyFont="1"/>
    <xf numFmtId="0" fontId="28" fillId="0" borderId="0" xfId="3" applyFont="1"/>
    <xf numFmtId="0" fontId="26" fillId="0" borderId="0" xfId="3" applyFont="1" applyAlignment="1">
      <alignment horizontal="left"/>
    </xf>
    <xf numFmtId="1" fontId="26" fillId="2" borderId="0" xfId="3" applyNumberFormat="1" applyFont="1" applyFill="1"/>
    <xf numFmtId="9" fontId="26" fillId="2" borderId="0" xfId="4" applyFont="1" applyFill="1"/>
    <xf numFmtId="164" fontId="26" fillId="2" borderId="0" xfId="4" applyNumberFormat="1" applyFont="1" applyFill="1"/>
    <xf numFmtId="10" fontId="26" fillId="2" borderId="0" xfId="4" applyNumberFormat="1" applyFont="1" applyFill="1"/>
    <xf numFmtId="10" fontId="26" fillId="2" borderId="0" xfId="4" applyNumberFormat="1" applyFont="1" applyFill="1" applyAlignment="1">
      <alignment horizontal="right"/>
    </xf>
    <xf numFmtId="1" fontId="26" fillId="0" borderId="0" xfId="3" applyNumberFormat="1" applyFont="1"/>
    <xf numFmtId="9" fontId="26" fillId="0" borderId="0" xfId="4" applyFont="1" applyFill="1"/>
    <xf numFmtId="0" fontId="26" fillId="2" borderId="0" xfId="3" applyFont="1" applyFill="1" applyAlignment="1">
      <alignment horizontal="center"/>
    </xf>
    <xf numFmtId="0" fontId="26" fillId="3" borderId="0" xfId="3" applyFont="1" applyFill="1" applyAlignment="1">
      <alignment horizontal="right"/>
    </xf>
    <xf numFmtId="1" fontId="29" fillId="0" borderId="0" xfId="1" applyNumberFormat="1" applyFont="1" applyAlignment="1">
      <alignment horizontal="center"/>
    </xf>
    <xf numFmtId="0" fontId="27" fillId="0" borderId="0" xfId="0" applyFont="1" applyAlignment="1">
      <alignment horizontal="right"/>
    </xf>
    <xf numFmtId="0" fontId="30" fillId="0" borderId="0" xfId="0" applyFont="1"/>
    <xf numFmtId="0" fontId="28" fillId="0" borderId="0" xfId="3" applyFont="1" applyBorder="1" applyProtection="1"/>
    <xf numFmtId="0" fontId="26" fillId="0" borderId="0" xfId="3" applyFont="1" applyBorder="1"/>
    <xf numFmtId="169" fontId="24" fillId="0" borderId="0" xfId="3" applyNumberFormat="1" applyFont="1"/>
    <xf numFmtId="0" fontId="31" fillId="0" borderId="0" xfId="0" applyFont="1" applyFill="1"/>
    <xf numFmtId="0" fontId="25" fillId="0" borderId="0" xfId="0" applyFont="1" applyFill="1"/>
    <xf numFmtId="0" fontId="24" fillId="0" borderId="0" xfId="3" applyFont="1" applyFill="1"/>
    <xf numFmtId="167" fontId="24" fillId="0" borderId="0" xfId="3" applyNumberFormat="1" applyFont="1" applyFill="1"/>
    <xf numFmtId="0" fontId="32" fillId="0" borderId="0" xfId="3" applyFont="1" applyFill="1"/>
    <xf numFmtId="41" fontId="24" fillId="0" borderId="0" xfId="1" applyNumberFormat="1" applyFont="1" applyFill="1"/>
    <xf numFmtId="41" fontId="25" fillId="0" borderId="1" xfId="0" applyNumberFormat="1" applyFont="1" applyFill="1" applyBorder="1"/>
    <xf numFmtId="41" fontId="25" fillId="0" borderId="0" xfId="0" applyNumberFormat="1" applyFont="1" applyFill="1" applyBorder="1"/>
    <xf numFmtId="171" fontId="25" fillId="0" borderId="0" xfId="0" applyNumberFormat="1" applyFont="1" applyFill="1"/>
    <xf numFmtId="168" fontId="24" fillId="0" borderId="0" xfId="1" applyNumberFormat="1" applyFont="1" applyFill="1"/>
    <xf numFmtId="168" fontId="24" fillId="0" borderId="1" xfId="1" applyNumberFormat="1" applyFont="1" applyFill="1" applyBorder="1"/>
    <xf numFmtId="0" fontId="31" fillId="0" borderId="0" xfId="0" applyFont="1" applyAlignment="1">
      <alignment horizontal="center" wrapText="1"/>
    </xf>
    <xf numFmtId="10" fontId="24" fillId="0" borderId="0" xfId="4" applyNumberFormat="1" applyFont="1" applyFill="1"/>
    <xf numFmtId="168" fontId="25" fillId="0" borderId="0" xfId="1" applyNumberFormat="1" applyFont="1"/>
    <xf numFmtId="168" fontId="25" fillId="0" borderId="1" xfId="0" applyNumberFormat="1" applyFont="1" applyBorder="1"/>
    <xf numFmtId="41" fontId="25" fillId="0" borderId="0" xfId="0" applyNumberFormat="1" applyFont="1"/>
    <xf numFmtId="0" fontId="31" fillId="0" borderId="0" xfId="0" applyFont="1" applyAlignment="1">
      <alignment horizontal="center"/>
    </xf>
    <xf numFmtId="41" fontId="25" fillId="0" borderId="1" xfId="0" applyNumberFormat="1" applyFont="1" applyBorder="1"/>
    <xf numFmtId="9" fontId="25" fillId="0" borderId="0" xfId="4" applyFont="1"/>
    <xf numFmtId="0" fontId="31" fillId="0" borderId="0" xfId="0" applyFont="1"/>
    <xf numFmtId="10" fontId="25" fillId="0" borderId="0" xfId="4" applyNumberFormat="1" applyFont="1"/>
    <xf numFmtId="168" fontId="25" fillId="0" borderId="1" xfId="1" applyNumberFormat="1" applyFont="1" applyBorder="1"/>
    <xf numFmtId="168" fontId="25" fillId="0" borderId="0" xfId="0" applyNumberFormat="1" applyFont="1"/>
    <xf numFmtId="0" fontId="32" fillId="0" borderId="0" xfId="3" applyFont="1" applyBorder="1" applyProtection="1"/>
    <xf numFmtId="41" fontId="24" fillId="0" borderId="0" xfId="3" applyNumberFormat="1" applyFont="1" applyBorder="1"/>
    <xf numFmtId="0" fontId="24" fillId="0" borderId="0" xfId="3" applyFont="1" applyBorder="1"/>
    <xf numFmtId="0" fontId="22" fillId="0" borderId="0" xfId="9" applyFont="1" applyBorder="1" applyAlignment="1">
      <alignment horizontal="left"/>
    </xf>
    <xf numFmtId="0" fontId="21" fillId="0" borderId="0" xfId="9" applyFont="1" applyBorder="1" applyAlignment="1">
      <alignment horizontal="left"/>
    </xf>
    <xf numFmtId="0" fontId="34" fillId="0" borderId="0" xfId="9" applyFont="1" applyBorder="1" applyAlignment="1">
      <alignment horizontal="left"/>
    </xf>
    <xf numFmtId="0" fontId="35" fillId="0" borderId="0" xfId="9" applyFont="1" applyBorder="1" applyAlignment="1">
      <alignment horizontal="left"/>
    </xf>
    <xf numFmtId="0" fontId="32" fillId="0" borderId="0" xfId="3" applyFont="1" applyBorder="1"/>
    <xf numFmtId="0" fontId="33" fillId="0" borderId="0" xfId="3" applyFont="1" applyBorder="1"/>
    <xf numFmtId="0" fontId="0" fillId="0" borderId="0" xfId="0" applyBorder="1"/>
    <xf numFmtId="0" fontId="32" fillId="0" borderId="0" xfId="3" applyFont="1" applyFill="1" applyBorder="1" applyAlignment="1">
      <alignment horizontal="center"/>
    </xf>
    <xf numFmtId="0" fontId="32" fillId="0" borderId="0" xfId="3" applyFont="1" applyFill="1" applyBorder="1" applyAlignment="1">
      <alignment horizontal="left"/>
    </xf>
    <xf numFmtId="167" fontId="32" fillId="38" borderId="0" xfId="3" applyNumberFormat="1" applyFont="1" applyFill="1"/>
    <xf numFmtId="0" fontId="31" fillId="38" borderId="0" xfId="0" applyFont="1" applyFill="1"/>
    <xf numFmtId="0" fontId="32" fillId="0" borderId="0" xfId="3" applyFont="1" applyBorder="1" applyAlignment="1" applyProtection="1">
      <alignment horizontal="left"/>
    </xf>
    <xf numFmtId="0" fontId="32" fillId="0" borderId="0" xfId="3" applyFont="1" applyBorder="1" applyAlignment="1" applyProtection="1">
      <alignment horizontal="center"/>
    </xf>
    <xf numFmtId="0" fontId="32" fillId="38" borderId="0" xfId="3" applyFont="1" applyFill="1" applyBorder="1" applyAlignment="1" applyProtection="1">
      <alignment horizontal="right"/>
    </xf>
    <xf numFmtId="0" fontId="24" fillId="0" borderId="0" xfId="3" applyFont="1" applyBorder="1" applyProtection="1"/>
    <xf numFmtId="41" fontId="24" fillId="0" borderId="0" xfId="5" applyNumberFormat="1" applyFont="1" applyBorder="1" applyProtection="1"/>
    <xf numFmtId="41" fontId="24" fillId="0" borderId="0" xfId="3" applyNumberFormat="1" applyFont="1" applyBorder="1" applyProtection="1"/>
    <xf numFmtId="0" fontId="24" fillId="0" borderId="0" xfId="3" applyFont="1" applyBorder="1" applyAlignment="1" applyProtection="1">
      <alignment horizontal="left" indent="2"/>
    </xf>
    <xf numFmtId="41" fontId="32" fillId="0" borderId="0" xfId="3" applyNumberFormat="1" applyFont="1" applyBorder="1"/>
    <xf numFmtId="0" fontId="24" fillId="0" borderId="0" xfId="9" applyFont="1" applyBorder="1"/>
    <xf numFmtId="41" fontId="24" fillId="0" borderId="0" xfId="9" applyNumberFormat="1" applyFont="1" applyBorder="1"/>
    <xf numFmtId="0" fontId="32" fillId="38" borderId="0" xfId="3" applyFont="1" applyFill="1" applyBorder="1"/>
    <xf numFmtId="41" fontId="24" fillId="0" borderId="0" xfId="5" applyNumberFormat="1" applyFont="1" applyBorder="1"/>
    <xf numFmtId="0" fontId="24" fillId="0" borderId="0" xfId="5" applyNumberFormat="1" applyFont="1" applyFill="1" applyBorder="1"/>
    <xf numFmtId="41" fontId="24" fillId="0" borderId="0" xfId="5" applyNumberFormat="1" applyFont="1" applyFill="1" applyBorder="1"/>
    <xf numFmtId="172" fontId="24" fillId="0" borderId="0" xfId="5" applyNumberFormat="1" applyFont="1" applyBorder="1"/>
    <xf numFmtId="0" fontId="32" fillId="0" borderId="0" xfId="3" applyFont="1" applyFill="1" applyBorder="1"/>
    <xf numFmtId="41" fontId="32" fillId="0" borderId="0" xfId="3" applyNumberFormat="1" applyFont="1" applyFill="1" applyBorder="1"/>
    <xf numFmtId="168" fontId="24" fillId="0" borderId="0" xfId="3" applyNumberFormat="1" applyFont="1" applyBorder="1"/>
    <xf numFmtId="172" fontId="24" fillId="0" borderId="0" xfId="3" applyNumberFormat="1" applyFont="1" applyBorder="1"/>
    <xf numFmtId="41" fontId="31" fillId="0" borderId="1" xfId="0" applyNumberFormat="1" applyFont="1" applyFill="1" applyBorder="1"/>
    <xf numFmtId="0" fontId="32" fillId="0" borderId="0" xfId="3" applyFont="1" applyFill="1" applyAlignment="1">
      <alignment horizontal="right" wrapText="1"/>
    </xf>
    <xf numFmtId="41" fontId="31" fillId="0" borderId="0" xfId="0" applyNumberFormat="1" applyFont="1" applyFill="1" applyBorder="1"/>
    <xf numFmtId="0" fontId="28" fillId="0" borderId="0" xfId="9" applyFont="1" applyBorder="1" applyAlignment="1">
      <alignment horizontal="left"/>
    </xf>
    <xf numFmtId="0" fontId="26" fillId="0" borderId="9" xfId="9" applyFont="1" applyBorder="1" applyAlignment="1">
      <alignment horizontal="right"/>
    </xf>
    <xf numFmtId="0" fontId="26" fillId="0" borderId="0" xfId="9" applyFont="1" applyBorder="1" applyAlignment="1">
      <alignment horizontal="right"/>
    </xf>
    <xf numFmtId="0" fontId="26" fillId="0" borderId="0" xfId="9" applyFont="1" applyBorder="1" applyAlignment="1">
      <alignment horizontal="left"/>
    </xf>
    <xf numFmtId="0" fontId="28" fillId="0" borderId="0" xfId="9" applyFont="1" applyBorder="1" applyAlignment="1">
      <alignment horizontal="right"/>
    </xf>
    <xf numFmtId="5" fontId="26" fillId="0" borderId="0" xfId="2" applyNumberFormat="1" applyFont="1" applyBorder="1" applyAlignment="1">
      <alignment horizontal="right"/>
    </xf>
    <xf numFmtId="5" fontId="26" fillId="0" borderId="0" xfId="2" applyNumberFormat="1" applyFont="1" applyFill="1" applyBorder="1" applyAlignment="1">
      <alignment horizontal="right"/>
    </xf>
    <xf numFmtId="5" fontId="26" fillId="0" borderId="0" xfId="4" applyNumberFormat="1" applyFont="1" applyBorder="1" applyAlignment="1">
      <alignment horizontal="right"/>
    </xf>
    <xf numFmtId="0" fontId="37" fillId="0" borderId="0" xfId="9" applyFont="1" applyBorder="1" applyAlignment="1">
      <alignment horizontal="left"/>
    </xf>
    <xf numFmtId="41" fontId="26" fillId="0" borderId="8" xfId="1" applyNumberFormat="1" applyFont="1" applyBorder="1" applyAlignment="1">
      <alignment horizontal="right"/>
    </xf>
    <xf numFmtId="5" fontId="26" fillId="0" borderId="0" xfId="9" applyNumberFormat="1" applyFont="1" applyBorder="1" applyAlignment="1">
      <alignment horizontal="right"/>
    </xf>
    <xf numFmtId="0" fontId="26" fillId="0" borderId="0" xfId="9" applyFont="1" applyFill="1" applyBorder="1" applyAlignment="1">
      <alignment horizontal="right"/>
    </xf>
    <xf numFmtId="0" fontId="28" fillId="0" borderId="0" xfId="9" applyFont="1" applyFill="1" applyBorder="1" applyAlignment="1">
      <alignment horizontal="left"/>
    </xf>
    <xf numFmtId="0" fontId="28" fillId="0" borderId="0" xfId="9" applyFont="1" applyFill="1" applyBorder="1" applyAlignment="1">
      <alignment horizontal="right"/>
    </xf>
    <xf numFmtId="0" fontId="28" fillId="0" borderId="6" xfId="9" applyFont="1" applyBorder="1" applyAlignment="1">
      <alignment horizontal="left"/>
    </xf>
    <xf numFmtId="5" fontId="28" fillId="0" borderId="0" xfId="9" applyNumberFormat="1" applyFont="1" applyBorder="1" applyAlignment="1">
      <alignment horizontal="right" vertical="center"/>
    </xf>
    <xf numFmtId="5" fontId="27" fillId="0" borderId="0" xfId="5" applyNumberFormat="1" applyFont="1" applyBorder="1" applyAlignment="1">
      <alignment horizontal="right"/>
    </xf>
    <xf numFmtId="5" fontId="27" fillId="0" borderId="0" xfId="5" applyNumberFormat="1" applyFont="1" applyFill="1" applyBorder="1" applyAlignment="1">
      <alignment horizontal="right"/>
    </xf>
    <xf numFmtId="5" fontId="28" fillId="0" borderId="6" xfId="5" applyNumberFormat="1" applyFont="1" applyBorder="1" applyAlignment="1">
      <alignment horizontal="right"/>
    </xf>
    <xf numFmtId="5" fontId="28" fillId="0" borderId="0" xfId="5" applyNumberFormat="1" applyFont="1" applyBorder="1" applyAlignment="1">
      <alignment horizontal="right"/>
    </xf>
    <xf numFmtId="5" fontId="26" fillId="0" borderId="0" xfId="5" applyNumberFormat="1" applyFont="1" applyBorder="1" applyAlignment="1">
      <alignment horizontal="right"/>
    </xf>
    <xf numFmtId="5" fontId="30" fillId="0" borderId="6" xfId="5" applyNumberFormat="1" applyFont="1" applyBorder="1" applyAlignment="1">
      <alignment horizontal="right"/>
    </xf>
    <xf numFmtId="5" fontId="29" fillId="0" borderId="0" xfId="3" applyNumberFormat="1" applyFont="1" applyFill="1" applyBorder="1" applyAlignment="1" applyProtection="1">
      <alignment horizontal="right"/>
    </xf>
    <xf numFmtId="5" fontId="26" fillId="0" borderId="0" xfId="5" applyNumberFormat="1" applyFont="1" applyFill="1" applyBorder="1" applyAlignment="1">
      <alignment horizontal="right"/>
    </xf>
    <xf numFmtId="0" fontId="26" fillId="0" borderId="0" xfId="9" applyFont="1" applyFill="1" applyBorder="1" applyAlignment="1">
      <alignment horizontal="left"/>
    </xf>
    <xf numFmtId="0" fontId="28" fillId="0" borderId="11" xfId="9" applyFont="1" applyFill="1" applyBorder="1" applyAlignment="1">
      <alignment horizontal="left"/>
    </xf>
    <xf numFmtId="5" fontId="30" fillId="0" borderId="11" xfId="2" applyNumberFormat="1" applyFont="1" applyFill="1" applyBorder="1" applyAlignment="1">
      <alignment horizontal="right"/>
    </xf>
    <xf numFmtId="0" fontId="28" fillId="0" borderId="12" xfId="3" applyFont="1" applyBorder="1"/>
    <xf numFmtId="0" fontId="26" fillId="0" borderId="12" xfId="3" applyFont="1" applyBorder="1"/>
    <xf numFmtId="0" fontId="27" fillId="0" borderId="12" xfId="0" applyFont="1" applyBorder="1"/>
    <xf numFmtId="0" fontId="37" fillId="2" borderId="0" xfId="3" applyFont="1" applyFill="1"/>
    <xf numFmtId="10" fontId="37" fillId="2" borderId="0" xfId="4" applyNumberFormat="1" applyFont="1" applyFill="1"/>
    <xf numFmtId="165" fontId="37" fillId="2" borderId="0" xfId="4" applyNumberFormat="1" applyFont="1" applyFill="1"/>
    <xf numFmtId="1" fontId="39" fillId="0" borderId="0" xfId="3" applyNumberFormat="1" applyFont="1" applyAlignment="1">
      <alignment horizontal="left"/>
    </xf>
    <xf numFmtId="166" fontId="37" fillId="3" borderId="0" xfId="2" applyNumberFormat="1" applyFont="1" applyFill="1"/>
    <xf numFmtId="0" fontId="35" fillId="0" borderId="0" xfId="3" applyFont="1"/>
    <xf numFmtId="0" fontId="40" fillId="0" borderId="0" xfId="3" applyFont="1" applyAlignment="1">
      <alignment horizontal="right"/>
    </xf>
    <xf numFmtId="10" fontId="26" fillId="0" borderId="0" xfId="4" applyNumberFormat="1" applyFont="1" applyAlignment="1">
      <alignment horizontal="right"/>
    </xf>
    <xf numFmtId="0" fontId="28" fillId="0" borderId="11" xfId="3" applyFont="1" applyBorder="1"/>
    <xf numFmtId="9" fontId="28" fillId="0" borderId="11" xfId="3" applyNumberFormat="1" applyFont="1" applyBorder="1" applyAlignment="1">
      <alignment horizontal="right"/>
    </xf>
    <xf numFmtId="0" fontId="28" fillId="0" borderId="11" xfId="3" applyFont="1" applyBorder="1" applyAlignment="1">
      <alignment horizontal="right"/>
    </xf>
    <xf numFmtId="10" fontId="28" fillId="0" borderId="11" xfId="3" applyNumberFormat="1" applyFont="1" applyBorder="1" applyAlignment="1">
      <alignment horizontal="right"/>
    </xf>
    <xf numFmtId="0" fontId="38" fillId="0" borderId="0" xfId="0" applyFont="1"/>
    <xf numFmtId="0" fontId="38" fillId="0" borderId="0" xfId="0" applyFont="1" applyAlignment="1">
      <alignment horizontal="right"/>
    </xf>
    <xf numFmtId="10" fontId="38" fillId="0" borderId="0" xfId="0" applyNumberFormat="1" applyFont="1" applyAlignment="1">
      <alignment horizontal="right"/>
    </xf>
    <xf numFmtId="0" fontId="26" fillId="0" borderId="0" xfId="3" applyFont="1" applyAlignment="1">
      <alignment horizontal="right"/>
    </xf>
    <xf numFmtId="9" fontId="26" fillId="0" borderId="0" xfId="4" applyFont="1" applyAlignment="1">
      <alignment horizontal="right"/>
    </xf>
    <xf numFmtId="10" fontId="26" fillId="0" borderId="0" xfId="3" applyNumberFormat="1" applyFont="1" applyAlignment="1">
      <alignment horizontal="right"/>
    </xf>
    <xf numFmtId="10" fontId="37" fillId="0" borderId="0" xfId="0" applyNumberFormat="1" applyFont="1" applyAlignment="1">
      <alignment horizontal="right"/>
    </xf>
    <xf numFmtId="0" fontId="4" fillId="0" borderId="0" xfId="0" applyFont="1" applyAlignment="1">
      <alignment horizontal="right" wrapText="1"/>
    </xf>
    <xf numFmtId="0" fontId="27" fillId="0" borderId="0" xfId="0" applyFont="1" applyAlignment="1">
      <alignment horizontal="left"/>
    </xf>
    <xf numFmtId="0" fontId="41" fillId="0" borderId="0" xfId="0" applyFont="1" applyAlignment="1">
      <alignment horizontal="right"/>
    </xf>
    <xf numFmtId="1" fontId="28" fillId="0" borderId="0" xfId="3" applyNumberFormat="1" applyFont="1" applyFill="1" applyAlignment="1">
      <alignment horizontal="left"/>
    </xf>
    <xf numFmtId="0" fontId="28" fillId="0" borderId="12" xfId="3" applyFont="1" applyBorder="1" applyAlignment="1">
      <alignment horizontal="left"/>
    </xf>
    <xf numFmtId="0" fontId="28" fillId="0" borderId="12" xfId="3" applyFont="1" applyBorder="1" applyAlignment="1">
      <alignment horizontal="right"/>
    </xf>
    <xf numFmtId="167" fontId="28" fillId="0" borderId="12" xfId="1" applyNumberFormat="1" applyFont="1" applyBorder="1" applyAlignment="1">
      <alignment horizontal="right"/>
    </xf>
    <xf numFmtId="0" fontId="30" fillId="0" borderId="0" xfId="0" applyFont="1" applyAlignment="1">
      <alignment horizontal="right"/>
    </xf>
    <xf numFmtId="0" fontId="30" fillId="0" borderId="0" xfId="0" applyFont="1" applyBorder="1" applyAlignment="1">
      <alignment horizontal="right"/>
    </xf>
    <xf numFmtId="5" fontId="26" fillId="2" borderId="0" xfId="3" applyNumberFormat="1" applyFont="1" applyFill="1" applyAlignment="1">
      <alignment horizontal="right"/>
    </xf>
    <xf numFmtId="0" fontId="28" fillId="0" borderId="6" xfId="3" applyFont="1" applyBorder="1" applyAlignment="1">
      <alignment horizontal="left"/>
    </xf>
    <xf numFmtId="0" fontId="28" fillId="0" borderId="6" xfId="3" applyFont="1" applyBorder="1" applyAlignment="1">
      <alignment horizontal="right"/>
    </xf>
    <xf numFmtId="5" fontId="28" fillId="0" borderId="6" xfId="3" applyNumberFormat="1" applyFont="1" applyBorder="1" applyAlignment="1">
      <alignment horizontal="right"/>
    </xf>
    <xf numFmtId="41" fontId="26" fillId="0" borderId="0" xfId="3" applyNumberFormat="1" applyFont="1" applyBorder="1" applyAlignment="1">
      <alignment horizontal="right"/>
    </xf>
    <xf numFmtId="168" fontId="26" fillId="0" borderId="0" xfId="1" applyNumberFormat="1" applyFont="1" applyAlignment="1">
      <alignment horizontal="right"/>
    </xf>
    <xf numFmtId="0" fontId="37" fillId="0" borderId="0" xfId="3" applyFont="1" applyAlignment="1">
      <alignment horizontal="left"/>
    </xf>
    <xf numFmtId="41" fontId="26" fillId="2" borderId="0" xfId="3" applyNumberFormat="1" applyFont="1" applyFill="1" applyAlignment="1">
      <alignment horizontal="right"/>
    </xf>
    <xf numFmtId="0" fontId="26" fillId="0" borderId="0" xfId="9" applyFont="1" applyBorder="1" applyAlignment="1">
      <alignment horizontal="left" wrapText="1"/>
    </xf>
    <xf numFmtId="0" fontId="28" fillId="0" borderId="0" xfId="3" applyFont="1" applyAlignment="1">
      <alignment horizontal="left" wrapText="1"/>
    </xf>
    <xf numFmtId="0" fontId="28" fillId="0" borderId="0" xfId="3" applyFont="1" applyAlignment="1">
      <alignment horizontal="right" wrapText="1"/>
    </xf>
    <xf numFmtId="167" fontId="28" fillId="0" borderId="0" xfId="1" applyNumberFormat="1" applyFont="1" applyAlignment="1">
      <alignment horizontal="right" wrapText="1"/>
    </xf>
    <xf numFmtId="167" fontId="28" fillId="0" borderId="0" xfId="3" applyNumberFormat="1" applyFont="1" applyAlignment="1">
      <alignment horizontal="right" wrapText="1"/>
    </xf>
    <xf numFmtId="0" fontId="41" fillId="0" borderId="0" xfId="0" applyFont="1" applyAlignment="1">
      <alignment horizontal="right" wrapText="1"/>
    </xf>
    <xf numFmtId="0" fontId="30" fillId="0" borderId="0" xfId="0" applyFont="1" applyAlignment="1">
      <alignment horizontal="right" wrapText="1"/>
    </xf>
    <xf numFmtId="0" fontId="26" fillId="0" borderId="0" xfId="3" applyFont="1" applyFill="1" applyAlignment="1">
      <alignment horizontal="left"/>
    </xf>
    <xf numFmtId="0" fontId="26" fillId="2" borderId="0" xfId="3" applyFont="1" applyFill="1" applyAlignment="1">
      <alignment horizontal="right"/>
    </xf>
    <xf numFmtId="175" fontId="26" fillId="2" borderId="0" xfId="1" applyNumberFormat="1" applyFont="1" applyFill="1" applyAlignment="1">
      <alignment horizontal="right"/>
    </xf>
    <xf numFmtId="175" fontId="28" fillId="0" borderId="6" xfId="3" applyNumberFormat="1" applyFont="1" applyBorder="1" applyAlignment="1">
      <alignment horizontal="right"/>
    </xf>
    <xf numFmtId="41" fontId="26" fillId="0" borderId="0" xfId="5" applyNumberFormat="1" applyFont="1" applyBorder="1"/>
    <xf numFmtId="0" fontId="27" fillId="0" borderId="9" xfId="0" applyFont="1" applyBorder="1" applyAlignment="1">
      <alignment horizontal="right"/>
    </xf>
    <xf numFmtId="0" fontId="30" fillId="0" borderId="0" xfId="0" applyFont="1" applyAlignment="1">
      <alignment horizontal="left"/>
    </xf>
    <xf numFmtId="0" fontId="30" fillId="38" borderId="8" xfId="0" applyFont="1" applyFill="1" applyBorder="1" applyAlignment="1">
      <alignment horizontal="right"/>
    </xf>
    <xf numFmtId="0" fontId="30" fillId="38" borderId="0" xfId="0" applyFont="1" applyFill="1" applyAlignment="1">
      <alignment horizontal="right"/>
    </xf>
    <xf numFmtId="0" fontId="27" fillId="0" borderId="8" xfId="0" applyFont="1" applyBorder="1" applyAlignment="1">
      <alignment horizontal="right"/>
    </xf>
    <xf numFmtId="14" fontId="27" fillId="0" borderId="0" xfId="0" applyNumberFormat="1" applyFont="1" applyAlignment="1">
      <alignment horizontal="right"/>
    </xf>
    <xf numFmtId="14" fontId="27" fillId="0" borderId="0" xfId="1" applyNumberFormat="1" applyFont="1" applyAlignment="1">
      <alignment horizontal="right"/>
    </xf>
    <xf numFmtId="175" fontId="27" fillId="0" borderId="8" xfId="1" applyNumberFormat="1" applyFont="1" applyBorder="1" applyAlignment="1">
      <alignment horizontal="right"/>
    </xf>
    <xf numFmtId="175" fontId="27" fillId="0" borderId="0" xfId="0" applyNumberFormat="1" applyFont="1" applyAlignment="1">
      <alignment horizontal="right"/>
    </xf>
    <xf numFmtId="175" fontId="27" fillId="0" borderId="9" xfId="1" applyNumberFormat="1" applyFont="1" applyBorder="1" applyAlignment="1">
      <alignment horizontal="right"/>
    </xf>
    <xf numFmtId="175" fontId="27" fillId="0" borderId="10" xfId="0" applyNumberFormat="1" applyFont="1" applyBorder="1" applyAlignment="1">
      <alignment horizontal="right"/>
    </xf>
    <xf numFmtId="175" fontId="27" fillId="0" borderId="6" xfId="0" applyNumberFormat="1" applyFont="1" applyBorder="1" applyAlignment="1">
      <alignment horizontal="right"/>
    </xf>
    <xf numFmtId="168" fontId="27" fillId="0" borderId="8" xfId="1" applyNumberFormat="1" applyFont="1" applyBorder="1" applyAlignment="1">
      <alignment horizontal="right"/>
    </xf>
    <xf numFmtId="41" fontId="27" fillId="0" borderId="0" xfId="0" applyNumberFormat="1" applyFont="1" applyAlignment="1">
      <alignment horizontal="right"/>
    </xf>
    <xf numFmtId="0" fontId="42" fillId="0" borderId="0" xfId="0" applyFont="1" applyAlignment="1">
      <alignment horizontal="left"/>
    </xf>
    <xf numFmtId="168" fontId="27" fillId="0" borderId="0" xfId="0" applyNumberFormat="1" applyFont="1" applyAlignment="1">
      <alignment horizontal="right"/>
    </xf>
    <xf numFmtId="8" fontId="27" fillId="0" borderId="8" xfId="0" applyNumberFormat="1" applyFont="1" applyBorder="1" applyAlignment="1">
      <alignment horizontal="right"/>
    </xf>
    <xf numFmtId="9" fontId="27" fillId="0" borderId="8" xfId="4" applyFont="1" applyBorder="1" applyAlignment="1">
      <alignment horizontal="right"/>
    </xf>
    <xf numFmtId="41" fontId="27" fillId="0" borderId="8" xfId="0" applyNumberFormat="1" applyFont="1" applyBorder="1" applyAlignment="1">
      <alignment horizontal="right"/>
    </xf>
    <xf numFmtId="0" fontId="43" fillId="0" borderId="0" xfId="9" applyFont="1" applyBorder="1" applyAlignment="1">
      <alignment horizontal="left"/>
    </xf>
    <xf numFmtId="168" fontId="42" fillId="0" borderId="8" xfId="1" applyNumberFormat="1" applyFont="1" applyBorder="1" applyAlignment="1">
      <alignment horizontal="right"/>
    </xf>
    <xf numFmtId="0" fontId="42" fillId="0" borderId="0" xfId="0" applyFont="1" applyAlignment="1">
      <alignment horizontal="right"/>
    </xf>
    <xf numFmtId="169" fontId="27" fillId="0" borderId="8" xfId="0" applyNumberFormat="1" applyFont="1" applyBorder="1" applyAlignment="1">
      <alignment horizontal="right"/>
    </xf>
    <xf numFmtId="43" fontId="27" fillId="0" borderId="0" xfId="0" applyNumberFormat="1" applyFont="1" applyAlignment="1">
      <alignment horizontal="right"/>
    </xf>
    <xf numFmtId="168" fontId="27" fillId="0" borderId="0" xfId="1" applyNumberFormat="1" applyFont="1" applyAlignment="1">
      <alignment horizontal="right"/>
    </xf>
    <xf numFmtId="168" fontId="27" fillId="0" borderId="8" xfId="0" applyNumberFormat="1" applyFont="1" applyBorder="1" applyAlignment="1">
      <alignment horizontal="right"/>
    </xf>
    <xf numFmtId="41" fontId="27" fillId="0" borderId="1" xfId="0" applyNumberFormat="1" applyFont="1" applyBorder="1" applyAlignment="1">
      <alignment horizontal="right"/>
    </xf>
    <xf numFmtId="168" fontId="27" fillId="0" borderId="1" xfId="0" applyNumberFormat="1" applyFont="1" applyBorder="1" applyAlignment="1">
      <alignment horizontal="right"/>
    </xf>
    <xf numFmtId="0" fontId="30" fillId="0" borderId="8" xfId="0" applyFont="1" applyBorder="1" applyAlignment="1">
      <alignment horizontal="right"/>
    </xf>
    <xf numFmtId="10" fontId="27" fillId="0" borderId="0" xfId="4" applyNumberFormat="1" applyFont="1" applyAlignment="1">
      <alignment horizontal="right"/>
    </xf>
    <xf numFmtId="165" fontId="27" fillId="0" borderId="0" xfId="4" applyNumberFormat="1" applyFont="1" applyAlignment="1">
      <alignment horizontal="right"/>
    </xf>
    <xf numFmtId="10" fontId="27" fillId="0" borderId="1" xfId="4" applyNumberFormat="1" applyFont="1" applyBorder="1" applyAlignment="1">
      <alignment horizontal="right"/>
    </xf>
    <xf numFmtId="41" fontId="27" fillId="0" borderId="0" xfId="0" applyNumberFormat="1" applyFont="1" applyAlignment="1">
      <alignment horizontal="left"/>
    </xf>
    <xf numFmtId="0" fontId="27" fillId="0" borderId="7" xfId="0" applyFont="1" applyBorder="1" applyAlignment="1">
      <alignment horizontal="right"/>
    </xf>
    <xf numFmtId="175" fontId="26" fillId="2" borderId="0" xfId="3" applyNumberFormat="1" applyFont="1" applyFill="1"/>
    <xf numFmtId="5" fontId="26" fillId="0" borderId="0" xfId="3" applyNumberFormat="1" applyFont="1" applyFill="1" applyAlignment="1">
      <alignment horizontal="right"/>
    </xf>
    <xf numFmtId="0" fontId="27" fillId="0" borderId="0" xfId="0" applyFont="1" applyFill="1" applyAlignment="1">
      <alignment horizontal="right"/>
    </xf>
    <xf numFmtId="5" fontId="27" fillId="0" borderId="1" xfId="0" applyNumberFormat="1" applyFont="1" applyBorder="1" applyAlignment="1">
      <alignment horizontal="right"/>
    </xf>
    <xf numFmtId="0" fontId="27" fillId="0" borderId="0" xfId="0" applyFont="1" applyBorder="1"/>
    <xf numFmtId="0" fontId="28" fillId="0" borderId="0" xfId="9" applyFont="1" applyBorder="1" applyAlignment="1">
      <alignment horizontal="right" wrapText="1"/>
    </xf>
    <xf numFmtId="0" fontId="44" fillId="0" borderId="0" xfId="0" applyFont="1" applyAlignment="1">
      <alignment horizontal="right" wrapText="1"/>
    </xf>
    <xf numFmtId="0" fontId="41" fillId="0" borderId="0" xfId="9" applyFont="1" applyBorder="1" applyAlignment="1">
      <alignment horizontal="left"/>
    </xf>
    <xf numFmtId="0" fontId="41" fillId="0" borderId="0" xfId="3" applyFont="1" applyAlignment="1">
      <alignment horizontal="left"/>
    </xf>
    <xf numFmtId="0" fontId="41" fillId="0" borderId="0" xfId="3" applyFont="1" applyAlignment="1">
      <alignment horizontal="right"/>
    </xf>
    <xf numFmtId="41" fontId="41" fillId="0" borderId="0" xfId="3" applyNumberFormat="1" applyFont="1" applyAlignment="1">
      <alignment horizontal="right"/>
    </xf>
    <xf numFmtId="0" fontId="37" fillId="0" borderId="0" xfId="0" applyFont="1" applyAlignment="1">
      <alignment horizontal="left"/>
    </xf>
    <xf numFmtId="0" fontId="37" fillId="0" borderId="0" xfId="3" applyFont="1"/>
    <xf numFmtId="37" fontId="37" fillId="2" borderId="0" xfId="1" applyNumberFormat="1" applyFont="1" applyFill="1" applyAlignment="1">
      <alignment horizontal="right"/>
    </xf>
    <xf numFmtId="1" fontId="37" fillId="0" borderId="0" xfId="3" applyNumberFormat="1" applyFont="1"/>
    <xf numFmtId="0" fontId="37" fillId="0" borderId="0" xfId="0" applyFont="1"/>
    <xf numFmtId="1" fontId="28" fillId="2" borderId="0" xfId="3" applyNumberFormat="1" applyFont="1" applyFill="1" applyAlignment="1">
      <alignment horizontal="left"/>
    </xf>
    <xf numFmtId="0" fontId="26" fillId="0" borderId="12" xfId="3" applyFont="1" applyBorder="1" applyAlignment="1">
      <alignment horizontal="right"/>
    </xf>
    <xf numFmtId="5" fontId="26" fillId="2" borderId="12" xfId="3" applyNumberFormat="1" applyFont="1" applyFill="1" applyBorder="1" applyAlignment="1">
      <alignment horizontal="right"/>
    </xf>
    <xf numFmtId="0" fontId="28" fillId="0" borderId="15" xfId="3" applyFont="1" applyBorder="1" applyAlignment="1">
      <alignment horizontal="left"/>
    </xf>
    <xf numFmtId="0" fontId="28" fillId="0" borderId="15" xfId="3" applyFont="1" applyBorder="1" applyAlignment="1">
      <alignment horizontal="right"/>
    </xf>
    <xf numFmtId="167" fontId="28" fillId="0" borderId="15" xfId="1" applyNumberFormat="1" applyFont="1" applyBorder="1" applyAlignment="1">
      <alignment horizontal="right"/>
    </xf>
    <xf numFmtId="0" fontId="27" fillId="0" borderId="0" xfId="0" quotePrefix="1" applyFont="1" applyAlignment="1">
      <alignment horizontal="left"/>
    </xf>
    <xf numFmtId="0" fontId="32" fillId="0" borderId="5" xfId="3" applyFont="1" applyBorder="1" applyAlignment="1" applyProtection="1">
      <alignment horizontal="left"/>
    </xf>
    <xf numFmtId="41" fontId="32" fillId="0" borderId="5" xfId="3" applyNumberFormat="1" applyFont="1" applyBorder="1" applyProtection="1"/>
    <xf numFmtId="0" fontId="32" fillId="0" borderId="5" xfId="3" applyFont="1" applyBorder="1" applyProtection="1"/>
    <xf numFmtId="41" fontId="32" fillId="0" borderId="5" xfId="5" applyNumberFormat="1" applyFont="1" applyBorder="1" applyProtection="1"/>
    <xf numFmtId="41" fontId="28" fillId="0" borderId="0" xfId="5" applyNumberFormat="1" applyFont="1" applyBorder="1" applyProtection="1"/>
    <xf numFmtId="41" fontId="32" fillId="0" borderId="0" xfId="5" applyNumberFormat="1" applyFont="1" applyBorder="1" applyProtection="1"/>
    <xf numFmtId="167" fontId="32" fillId="38" borderId="0" xfId="3" applyNumberFormat="1" applyFont="1" applyFill="1" applyBorder="1" applyAlignment="1" applyProtection="1">
      <alignment horizontal="right"/>
    </xf>
    <xf numFmtId="0" fontId="4" fillId="0" borderId="0" xfId="0" applyFont="1" applyBorder="1" applyAlignment="1">
      <alignment horizontal="right"/>
    </xf>
    <xf numFmtId="0" fontId="32" fillId="0" borderId="0" xfId="3" applyFont="1" applyBorder="1" applyAlignment="1">
      <alignment horizontal="right"/>
    </xf>
    <xf numFmtId="0" fontId="32" fillId="0" borderId="5" xfId="3" applyFont="1" applyBorder="1"/>
    <xf numFmtId="41" fontId="32" fillId="0" borderId="5" xfId="3" applyNumberFormat="1" applyFont="1" applyBorder="1"/>
    <xf numFmtId="0" fontId="24" fillId="0" borderId="5" xfId="3" applyFont="1" applyBorder="1"/>
    <xf numFmtId="168" fontId="32" fillId="0" borderId="5" xfId="1" applyNumberFormat="1" applyFont="1" applyBorder="1"/>
    <xf numFmtId="41" fontId="31" fillId="0" borderId="0" xfId="0" applyNumberFormat="1" applyFont="1"/>
    <xf numFmtId="0" fontId="47" fillId="0" borderId="0" xfId="9" applyFont="1" applyBorder="1" applyAlignment="1">
      <alignment horizontal="left"/>
    </xf>
    <xf numFmtId="0" fontId="32" fillId="0" borderId="5" xfId="3" applyFont="1" applyFill="1" applyBorder="1"/>
    <xf numFmtId="168" fontId="32" fillId="0" borderId="5" xfId="1" applyNumberFormat="1" applyFont="1" applyFill="1" applyBorder="1"/>
    <xf numFmtId="0" fontId="49" fillId="0" borderId="0" xfId="3" applyFont="1" applyFill="1"/>
    <xf numFmtId="168" fontId="49" fillId="0" borderId="0" xfId="1" applyNumberFormat="1" applyFont="1" applyFill="1"/>
    <xf numFmtId="0" fontId="50" fillId="0" borderId="0" xfId="0" applyFont="1"/>
    <xf numFmtId="0" fontId="26" fillId="2" borderId="0" xfId="3" applyFont="1" applyFill="1"/>
    <xf numFmtId="0" fontId="26" fillId="0" borderId="0" xfId="3" applyFont="1" applyFill="1" applyAlignment="1">
      <alignment horizontal="right"/>
    </xf>
    <xf numFmtId="1" fontId="26" fillId="0" borderId="0" xfId="3" applyNumberFormat="1" applyFont="1" applyFill="1" applyAlignment="1">
      <alignment horizontal="right"/>
    </xf>
    <xf numFmtId="10" fontId="26" fillId="0" borderId="0" xfId="3" applyNumberFormat="1" applyFont="1" applyFill="1" applyAlignment="1">
      <alignment horizontal="right"/>
    </xf>
    <xf numFmtId="0" fontId="32" fillId="0" borderId="0" xfId="3" applyFont="1"/>
    <xf numFmtId="0" fontId="32" fillId="0" borderId="15" xfId="3" applyFont="1" applyBorder="1"/>
    <xf numFmtId="0" fontId="48" fillId="0" borderId="0" xfId="3" applyFont="1" applyAlignment="1">
      <alignment horizontal="right"/>
    </xf>
    <xf numFmtId="169" fontId="48" fillId="0" borderId="0" xfId="3" applyNumberFormat="1" applyFont="1" applyAlignment="1">
      <alignment horizontal="right"/>
    </xf>
    <xf numFmtId="169" fontId="48" fillId="0" borderId="15" xfId="3" applyNumberFormat="1" applyFont="1" applyBorder="1" applyAlignment="1">
      <alignment horizontal="right"/>
    </xf>
    <xf numFmtId="176" fontId="24" fillId="0" borderId="0" xfId="3" applyNumberFormat="1" applyFont="1"/>
    <xf numFmtId="176" fontId="26" fillId="0" borderId="0" xfId="3" applyNumberFormat="1" applyFont="1"/>
    <xf numFmtId="176" fontId="24" fillId="0" borderId="15" xfId="3" applyNumberFormat="1" applyFont="1" applyBorder="1"/>
    <xf numFmtId="0" fontId="28" fillId="0" borderId="0" xfId="3" applyFont="1" applyBorder="1" applyAlignment="1">
      <alignment horizontal="left"/>
    </xf>
    <xf numFmtId="0" fontId="28" fillId="0" borderId="0" xfId="3" applyFont="1" applyBorder="1" applyAlignment="1">
      <alignment horizontal="right"/>
    </xf>
    <xf numFmtId="0" fontId="41" fillId="0" borderId="0" xfId="0" applyFont="1" applyBorder="1" applyAlignment="1">
      <alignment horizontal="right"/>
    </xf>
    <xf numFmtId="167" fontId="28" fillId="38" borderId="0" xfId="1" applyNumberFormat="1" applyFont="1" applyFill="1" applyBorder="1" applyAlignment="1">
      <alignment horizontal="right"/>
    </xf>
    <xf numFmtId="0" fontId="52" fillId="0" borderId="0" xfId="3" applyFont="1" applyFill="1"/>
    <xf numFmtId="167" fontId="52" fillId="0" borderId="0" xfId="3" applyNumberFormat="1" applyFont="1" applyFill="1"/>
    <xf numFmtId="0" fontId="52" fillId="0" borderId="0" xfId="0" applyFont="1"/>
    <xf numFmtId="0" fontId="51" fillId="0" borderId="0" xfId="0" applyFont="1" applyAlignment="1">
      <alignment wrapText="1"/>
    </xf>
    <xf numFmtId="0" fontId="55" fillId="0" borderId="0" xfId="0" applyFont="1" applyAlignment="1">
      <alignment wrapText="1"/>
    </xf>
    <xf numFmtId="0" fontId="56" fillId="0" borderId="0" xfId="0" applyFont="1" applyAlignment="1">
      <alignment wrapText="1"/>
    </xf>
    <xf numFmtId="168" fontId="51" fillId="0" borderId="0" xfId="0" applyNumberFormat="1" applyFont="1" applyAlignment="1">
      <alignment wrapText="1"/>
    </xf>
    <xf numFmtId="167" fontId="32" fillId="38" borderId="0" xfId="3" applyNumberFormat="1" applyFont="1" applyFill="1" applyBorder="1" applyAlignment="1">
      <alignment horizontal="right"/>
    </xf>
    <xf numFmtId="0" fontId="4" fillId="0" borderId="0" xfId="0" applyFont="1" applyBorder="1"/>
    <xf numFmtId="0" fontId="32" fillId="0" borderId="5" xfId="5" applyNumberFormat="1" applyFont="1" applyFill="1" applyBorder="1"/>
    <xf numFmtId="41" fontId="32" fillId="0" borderId="5" xfId="5" applyNumberFormat="1" applyFont="1" applyFill="1" applyBorder="1"/>
    <xf numFmtId="0" fontId="32" fillId="0" borderId="11" xfId="3" applyFont="1" applyBorder="1"/>
    <xf numFmtId="41" fontId="32" fillId="0" borderId="11" xfId="5" applyNumberFormat="1" applyFont="1" applyBorder="1"/>
    <xf numFmtId="41" fontId="26" fillId="0" borderId="0" xfId="2" applyNumberFormat="1" applyFont="1" applyFill="1" applyBorder="1" applyAlignment="1">
      <alignment horizontal="right"/>
    </xf>
    <xf numFmtId="41" fontId="26" fillId="0" borderId="0" xfId="5" applyNumberFormat="1" applyFont="1" applyFill="1" applyBorder="1" applyAlignment="1">
      <alignment horizontal="right"/>
    </xf>
    <xf numFmtId="41" fontId="27" fillId="0" borderId="0" xfId="5" applyNumberFormat="1" applyFont="1" applyFill="1" applyBorder="1" applyAlignment="1">
      <alignment horizontal="right"/>
    </xf>
    <xf numFmtId="41" fontId="26" fillId="0" borderId="0" xfId="2" applyNumberFormat="1" applyFont="1" applyBorder="1" applyAlignment="1">
      <alignment horizontal="right"/>
    </xf>
    <xf numFmtId="0" fontId="49" fillId="0" borderId="0" xfId="3" applyFont="1" applyBorder="1"/>
    <xf numFmtId="10" fontId="49" fillId="0" borderId="0" xfId="13" applyNumberFormat="1" applyFont="1" applyBorder="1"/>
    <xf numFmtId="0" fontId="58" fillId="0" borderId="0" xfId="0" applyFont="1" applyBorder="1"/>
    <xf numFmtId="41" fontId="25" fillId="0" borderId="0" xfId="1" applyNumberFormat="1" applyFont="1"/>
    <xf numFmtId="41" fontId="25" fillId="0" borderId="1" xfId="1" applyNumberFormat="1" applyFont="1" applyBorder="1"/>
    <xf numFmtId="1" fontId="57" fillId="0" borderId="0" xfId="3" applyNumberFormat="1" applyFont="1" applyFill="1" applyAlignment="1">
      <alignment horizontal="left"/>
    </xf>
    <xf numFmtId="0" fontId="48" fillId="0" borderId="0" xfId="3" applyFont="1" applyBorder="1" applyProtection="1"/>
    <xf numFmtId="0" fontId="48" fillId="0" borderId="0" xfId="3" applyFont="1" applyAlignment="1">
      <alignment horizontal="left"/>
    </xf>
    <xf numFmtId="0" fontId="32" fillId="38" borderId="0" xfId="3" applyFont="1" applyFill="1" applyAlignment="1">
      <alignment horizontal="right"/>
    </xf>
    <xf numFmtId="0" fontId="32" fillId="38" borderId="0" xfId="3" applyFont="1" applyFill="1"/>
    <xf numFmtId="41" fontId="27" fillId="0" borderId="8" xfId="13" applyNumberFormat="1" applyFont="1" applyBorder="1" applyAlignment="1">
      <alignment horizontal="right"/>
    </xf>
    <xf numFmtId="0" fontId="59" fillId="0" borderId="0" xfId="9" applyFont="1" applyBorder="1" applyAlignment="1">
      <alignment horizontal="left"/>
    </xf>
    <xf numFmtId="0" fontId="54" fillId="0" borderId="0" xfId="3" applyFont="1" applyBorder="1"/>
    <xf numFmtId="0" fontId="36" fillId="0" borderId="0" xfId="3" applyFont="1" applyBorder="1"/>
    <xf numFmtId="0" fontId="59" fillId="0" borderId="0" xfId="0" applyFont="1" applyBorder="1"/>
    <xf numFmtId="0" fontId="22" fillId="0" borderId="0" xfId="0" applyFont="1" applyBorder="1"/>
    <xf numFmtId="0" fontId="28" fillId="39" borderId="12" xfId="9" applyFont="1" applyFill="1" applyBorder="1" applyAlignment="1">
      <alignment horizontal="left"/>
    </xf>
    <xf numFmtId="0" fontId="28" fillId="39" borderId="12" xfId="9" applyFont="1" applyFill="1" applyBorder="1" applyAlignment="1">
      <alignment horizontal="right"/>
    </xf>
    <xf numFmtId="5" fontId="28" fillId="0" borderId="6" xfId="2" applyNumberFormat="1" applyFont="1" applyFill="1" applyBorder="1" applyAlignment="1">
      <alignment horizontal="right"/>
    </xf>
    <xf numFmtId="0" fontId="28" fillId="0" borderId="12" xfId="9" applyFont="1" applyBorder="1" applyAlignment="1">
      <alignment horizontal="left"/>
    </xf>
    <xf numFmtId="5" fontId="30" fillId="0" borderId="12" xfId="5" applyNumberFormat="1" applyFont="1" applyFill="1" applyBorder="1" applyAlignment="1">
      <alignment horizontal="right"/>
    </xf>
    <xf numFmtId="0" fontId="28" fillId="39" borderId="13" xfId="9" applyFont="1" applyFill="1" applyBorder="1" applyAlignment="1">
      <alignment horizontal="right"/>
    </xf>
    <xf numFmtId="41" fontId="29" fillId="0" borderId="8" xfId="9" applyNumberFormat="1" applyFont="1" applyBorder="1" applyAlignment="1">
      <alignment horizontal="right"/>
    </xf>
    <xf numFmtId="41" fontId="26" fillId="0" borderId="0" xfId="4" applyNumberFormat="1" applyFont="1" applyBorder="1" applyAlignment="1">
      <alignment horizontal="right"/>
    </xf>
    <xf numFmtId="41" fontId="27" fillId="0" borderId="0" xfId="2" applyNumberFormat="1" applyFont="1" applyBorder="1" applyAlignment="1">
      <alignment horizontal="right"/>
    </xf>
    <xf numFmtId="41" fontId="28" fillId="0" borderId="8" xfId="9" applyNumberFormat="1" applyFont="1" applyBorder="1" applyAlignment="1">
      <alignment horizontal="left"/>
    </xf>
    <xf numFmtId="41" fontId="28" fillId="0" borderId="0" xfId="9" applyNumberFormat="1" applyFont="1" applyBorder="1" applyAlignment="1">
      <alignment horizontal="left"/>
    </xf>
    <xf numFmtId="41" fontId="28" fillId="39" borderId="13" xfId="9" applyNumberFormat="1" applyFont="1" applyFill="1" applyBorder="1" applyAlignment="1">
      <alignment horizontal="right"/>
    </xf>
    <xf numFmtId="41" fontId="28" fillId="39" borderId="12" xfId="9" applyNumberFormat="1" applyFont="1" applyFill="1" applyBorder="1" applyAlignment="1">
      <alignment horizontal="right"/>
    </xf>
    <xf numFmtId="41" fontId="28" fillId="0" borderId="8" xfId="9" applyNumberFormat="1" applyFont="1" applyBorder="1" applyAlignment="1">
      <alignment horizontal="right" vertical="center"/>
    </xf>
    <xf numFmtId="41" fontId="28" fillId="0" borderId="0" xfId="9" applyNumberFormat="1" applyFont="1" applyBorder="1" applyAlignment="1">
      <alignment horizontal="right" vertical="center"/>
    </xf>
    <xf numFmtId="41" fontId="27" fillId="0" borderId="8" xfId="5" applyNumberFormat="1" applyFont="1" applyBorder="1" applyAlignment="1">
      <alignment horizontal="right"/>
    </xf>
    <xf numFmtId="41" fontId="26" fillId="0" borderId="0" xfId="9" applyNumberFormat="1" applyFont="1" applyBorder="1" applyAlignment="1">
      <alignment horizontal="right" vertical="center"/>
    </xf>
    <xf numFmtId="41" fontId="27" fillId="0" borderId="0" xfId="5" applyNumberFormat="1" applyFont="1" applyBorder="1" applyAlignment="1">
      <alignment horizontal="right"/>
    </xf>
    <xf numFmtId="41" fontId="28" fillId="0" borderId="9" xfId="5" applyNumberFormat="1" applyFont="1" applyBorder="1" applyAlignment="1">
      <alignment horizontal="right"/>
    </xf>
    <xf numFmtId="41" fontId="28" fillId="0" borderId="6" xfId="5" applyNumberFormat="1" applyFont="1" applyBorder="1" applyAlignment="1">
      <alignment horizontal="right"/>
    </xf>
    <xf numFmtId="41" fontId="28" fillId="0" borderId="8" xfId="5" applyNumberFormat="1" applyFont="1" applyBorder="1" applyAlignment="1">
      <alignment horizontal="right"/>
    </xf>
    <xf numFmtId="41" fontId="28" fillId="0" borderId="0" xfId="5" applyNumberFormat="1" applyFont="1" applyBorder="1" applyAlignment="1">
      <alignment horizontal="right"/>
    </xf>
    <xf numFmtId="41" fontId="26" fillId="0" borderId="8" xfId="5" applyNumberFormat="1" applyFont="1" applyBorder="1" applyAlignment="1">
      <alignment horizontal="right"/>
    </xf>
    <xf numFmtId="41" fontId="30" fillId="0" borderId="9" xfId="5" applyNumberFormat="1" applyFont="1" applyBorder="1" applyAlignment="1">
      <alignment horizontal="right"/>
    </xf>
    <xf numFmtId="41" fontId="30" fillId="0" borderId="6" xfId="5" applyNumberFormat="1" applyFont="1" applyBorder="1" applyAlignment="1">
      <alignment horizontal="right"/>
    </xf>
    <xf numFmtId="41" fontId="26" fillId="0" borderId="8" xfId="9" applyNumberFormat="1" applyFont="1" applyBorder="1" applyAlignment="1">
      <alignment horizontal="right"/>
    </xf>
    <xf numFmtId="41" fontId="26" fillId="0" borderId="0" xfId="9" applyNumberFormat="1" applyFont="1" applyFill="1" applyBorder="1" applyAlignment="1">
      <alignment horizontal="right"/>
    </xf>
    <xf numFmtId="41" fontId="28" fillId="0" borderId="0" xfId="9" applyNumberFormat="1" applyFont="1" applyFill="1" applyBorder="1" applyAlignment="1">
      <alignment horizontal="right"/>
    </xf>
    <xf numFmtId="41" fontId="29" fillId="0" borderId="0" xfId="3" applyNumberFormat="1" applyFont="1" applyFill="1" applyBorder="1" applyAlignment="1" applyProtection="1">
      <alignment horizontal="right"/>
    </xf>
    <xf numFmtId="41" fontId="28" fillId="0" borderId="8" xfId="2" applyNumberFormat="1" applyFont="1" applyBorder="1" applyAlignment="1">
      <alignment horizontal="right"/>
    </xf>
    <xf numFmtId="41" fontId="28" fillId="0" borderId="9" xfId="2" applyNumberFormat="1" applyFont="1" applyBorder="1" applyAlignment="1">
      <alignment horizontal="right"/>
    </xf>
    <xf numFmtId="41" fontId="28" fillId="0" borderId="6" xfId="2" applyNumberFormat="1" applyFont="1" applyFill="1" applyBorder="1" applyAlignment="1">
      <alignment horizontal="right"/>
    </xf>
    <xf numFmtId="41" fontId="30" fillId="0" borderId="13" xfId="5" applyNumberFormat="1" applyFont="1" applyBorder="1" applyAlignment="1">
      <alignment horizontal="right"/>
    </xf>
    <xf numFmtId="41" fontId="30" fillId="0" borderId="12" xfId="5" applyNumberFormat="1" applyFont="1" applyFill="1" applyBorder="1" applyAlignment="1">
      <alignment horizontal="right"/>
    </xf>
    <xf numFmtId="41" fontId="30" fillId="0" borderId="14" xfId="2" applyNumberFormat="1" applyFont="1" applyBorder="1" applyAlignment="1">
      <alignment horizontal="right"/>
    </xf>
    <xf numFmtId="41" fontId="30" fillId="0" borderId="11" xfId="2" applyNumberFormat="1" applyFont="1" applyFill="1" applyBorder="1" applyAlignment="1">
      <alignment horizontal="right"/>
    </xf>
    <xf numFmtId="41" fontId="26" fillId="0" borderId="0" xfId="9" applyNumberFormat="1" applyFont="1" applyBorder="1" applyAlignment="1">
      <alignment horizontal="right"/>
    </xf>
    <xf numFmtId="41" fontId="30" fillId="0" borderId="8" xfId="5" applyNumberFormat="1" applyFont="1" applyBorder="1" applyAlignment="1">
      <alignment horizontal="right"/>
    </xf>
    <xf numFmtId="41" fontId="28" fillId="0" borderId="0" xfId="2" applyNumberFormat="1" applyFont="1" applyFill="1" applyBorder="1" applyAlignment="1">
      <alignment horizontal="right"/>
    </xf>
    <xf numFmtId="0" fontId="53" fillId="0" borderId="0" xfId="3" applyFont="1" applyBorder="1" applyAlignment="1" applyProtection="1">
      <alignment horizontal="right"/>
    </xf>
    <xf numFmtId="0" fontId="25" fillId="0" borderId="0" xfId="0" applyFont="1" applyFill="1" applyAlignment="1">
      <alignment horizontal="right"/>
    </xf>
    <xf numFmtId="0" fontId="0" fillId="0" borderId="0" xfId="0" applyAlignment="1">
      <alignment horizontal="right"/>
    </xf>
    <xf numFmtId="0" fontId="32" fillId="0" borderId="0" xfId="3" applyFont="1" applyFill="1" applyAlignment="1">
      <alignment horizontal="right"/>
    </xf>
    <xf numFmtId="0" fontId="24" fillId="0" borderId="0" xfId="3" applyFont="1" applyFill="1" applyAlignment="1">
      <alignment horizontal="right"/>
    </xf>
    <xf numFmtId="1" fontId="24" fillId="0" borderId="0" xfId="3" applyNumberFormat="1" applyFont="1" applyFill="1" applyAlignment="1">
      <alignment horizontal="right"/>
    </xf>
    <xf numFmtId="1" fontId="28" fillId="39" borderId="12" xfId="1" applyNumberFormat="1" applyFont="1" applyFill="1" applyBorder="1" applyAlignment="1">
      <alignment horizontal="right"/>
    </xf>
    <xf numFmtId="0" fontId="60" fillId="0" borderId="0" xfId="0" applyFont="1" applyAlignment="1">
      <alignment horizontal="right"/>
    </xf>
    <xf numFmtId="41" fontId="25" fillId="0" borderId="0" xfId="1" applyNumberFormat="1" applyFont="1" applyBorder="1"/>
    <xf numFmtId="0" fontId="31" fillId="0" borderId="11" xfId="0" applyFont="1" applyBorder="1"/>
    <xf numFmtId="41" fontId="31" fillId="0" borderId="11" xfId="0" applyNumberFormat="1" applyFont="1" applyBorder="1"/>
    <xf numFmtId="41" fontId="32" fillId="0" borderId="0" xfId="5" applyNumberFormat="1" applyFont="1" applyBorder="1"/>
    <xf numFmtId="0" fontId="49" fillId="0" borderId="0" xfId="5" applyNumberFormat="1" applyFont="1" applyFill="1" applyBorder="1"/>
    <xf numFmtId="41" fontId="49" fillId="0" borderId="0" xfId="5" applyNumberFormat="1" applyFont="1" applyFill="1" applyBorder="1"/>
    <xf numFmtId="43" fontId="49" fillId="0" borderId="0" xfId="5" applyNumberFormat="1" applyFont="1" applyFill="1" applyBorder="1"/>
    <xf numFmtId="0" fontId="0" fillId="0" borderId="0" xfId="0" applyFont="1" applyBorder="1"/>
    <xf numFmtId="164" fontId="22" fillId="0" borderId="0" xfId="4" applyNumberFormat="1" applyFont="1" applyBorder="1" applyAlignment="1">
      <alignment horizontal="left"/>
    </xf>
    <xf numFmtId="164" fontId="24" fillId="0" borderId="0" xfId="4" applyNumberFormat="1" applyFont="1" applyBorder="1"/>
    <xf numFmtId="164" fontId="0" fillId="0" borderId="0" xfId="4" applyNumberFormat="1" applyFont="1" applyBorder="1"/>
    <xf numFmtId="10" fontId="24" fillId="0" borderId="0" xfId="4" applyNumberFormat="1" applyFont="1" applyBorder="1"/>
    <xf numFmtId="164" fontId="24" fillId="0" borderId="5" xfId="4" applyNumberFormat="1" applyFont="1" applyBorder="1"/>
    <xf numFmtId="41" fontId="28" fillId="0" borderId="13" xfId="5" applyNumberFormat="1" applyFont="1" applyBorder="1" applyAlignment="1">
      <alignment horizontal="right"/>
    </xf>
    <xf numFmtId="41" fontId="28" fillId="0" borderId="12" xfId="5" applyNumberFormat="1" applyFont="1" applyFill="1" applyBorder="1" applyAlignment="1">
      <alignment horizontal="right"/>
    </xf>
    <xf numFmtId="5" fontId="28" fillId="0" borderId="12" xfId="5" applyNumberFormat="1" applyFont="1" applyFill="1" applyBorder="1" applyAlignment="1">
      <alignment horizontal="left"/>
    </xf>
    <xf numFmtId="0" fontId="45" fillId="0" borderId="0" xfId="9" applyFont="1" applyFill="1" applyBorder="1" applyAlignment="1">
      <alignment horizontal="right"/>
    </xf>
    <xf numFmtId="0" fontId="45" fillId="0" borderId="0" xfId="9" applyFont="1" applyBorder="1" applyAlignment="1">
      <alignment horizontal="left"/>
    </xf>
    <xf numFmtId="0" fontId="25" fillId="0" borderId="0" xfId="0" quotePrefix="1" applyFont="1" applyFill="1"/>
    <xf numFmtId="0" fontId="32" fillId="40" borderId="5" xfId="3" applyFont="1" applyFill="1" applyBorder="1"/>
    <xf numFmtId="168" fontId="24" fillId="0" borderId="0" xfId="5" applyNumberFormat="1" applyFont="1" applyBorder="1" applyProtection="1"/>
    <xf numFmtId="41" fontId="28" fillId="0" borderId="13" xfId="9" applyNumberFormat="1" applyFont="1" applyBorder="1" applyAlignment="1">
      <alignment horizontal="right"/>
    </xf>
    <xf numFmtId="41" fontId="28" fillId="0" borderId="12" xfId="9" applyNumberFormat="1" applyFont="1" applyBorder="1" applyAlignment="1">
      <alignment horizontal="right"/>
    </xf>
    <xf numFmtId="5" fontId="28" fillId="0" borderId="12" xfId="9" applyNumberFormat="1" applyFont="1" applyBorder="1" applyAlignment="1">
      <alignment horizontal="right"/>
    </xf>
    <xf numFmtId="0" fontId="28" fillId="0" borderId="11" xfId="9" applyFont="1" applyBorder="1" applyAlignment="1">
      <alignment horizontal="left"/>
    </xf>
    <xf numFmtId="41" fontId="28" fillId="0" borderId="14" xfId="9" applyNumberFormat="1" applyFont="1" applyBorder="1" applyAlignment="1">
      <alignment horizontal="right"/>
    </xf>
    <xf numFmtId="41" fontId="28" fillId="0" borderId="11" xfId="9" applyNumberFormat="1" applyFont="1" applyBorder="1" applyAlignment="1">
      <alignment horizontal="right"/>
    </xf>
    <xf numFmtId="5" fontId="28" fillId="0" borderId="11" xfId="9" applyNumberFormat="1" applyFont="1" applyBorder="1" applyAlignment="1">
      <alignment horizontal="right"/>
    </xf>
    <xf numFmtId="41" fontId="26" fillId="0" borderId="7" xfId="9" applyNumberFormat="1" applyFont="1" applyBorder="1" applyAlignment="1">
      <alignment horizontal="right"/>
    </xf>
    <xf numFmtId="43" fontId="25" fillId="0" borderId="1" xfId="1" applyNumberFormat="1" applyFont="1" applyBorder="1"/>
    <xf numFmtId="0" fontId="26" fillId="2" borderId="0" xfId="1" applyNumberFormat="1" applyFont="1" applyFill="1" applyAlignment="1">
      <alignment horizontal="right"/>
    </xf>
    <xf numFmtId="41" fontId="26" fillId="2" borderId="0" xfId="1" applyNumberFormat="1" applyFont="1" applyFill="1" applyAlignment="1">
      <alignment horizontal="right"/>
    </xf>
    <xf numFmtId="41" fontId="26" fillId="0" borderId="8" xfId="9" applyNumberFormat="1" applyFont="1" applyBorder="1" applyAlignment="1">
      <alignment horizontal="left"/>
    </xf>
    <xf numFmtId="37" fontId="27" fillId="0" borderId="0" xfId="5" applyNumberFormat="1" applyFont="1" applyBorder="1" applyAlignment="1">
      <alignment horizontal="right"/>
    </xf>
    <xf numFmtId="166" fontId="26" fillId="40" borderId="0" xfId="2" applyNumberFormat="1" applyFont="1" applyFill="1" applyAlignment="1">
      <alignment horizontal="right"/>
    </xf>
    <xf numFmtId="166" fontId="27" fillId="40" borderId="0" xfId="2" applyNumberFormat="1" applyFont="1" applyFill="1" applyAlignment="1">
      <alignment horizontal="right"/>
    </xf>
    <xf numFmtId="166" fontId="27" fillId="0" borderId="0" xfId="2" applyNumberFormat="1" applyFont="1" applyAlignment="1">
      <alignment horizontal="right"/>
    </xf>
  </cellXfs>
  <cellStyles count="108">
    <cellStyle name="Accent1 - 20%" xfId="14" xr:uid="{00000000-0005-0000-0000-000000000000}"/>
    <cellStyle name="Accent1 - 40%" xfId="15" xr:uid="{00000000-0005-0000-0000-000001000000}"/>
    <cellStyle name="Accent1 - 60%" xfId="16" xr:uid="{00000000-0005-0000-0000-000002000000}"/>
    <cellStyle name="Accent2 - 20%" xfId="17" xr:uid="{00000000-0005-0000-0000-000003000000}"/>
    <cellStyle name="Accent2 - 40%" xfId="18" xr:uid="{00000000-0005-0000-0000-000004000000}"/>
    <cellStyle name="Accent2 - 60%" xfId="19" xr:uid="{00000000-0005-0000-0000-000005000000}"/>
    <cellStyle name="Accent3 - 20%" xfId="20" xr:uid="{00000000-0005-0000-0000-000006000000}"/>
    <cellStyle name="Accent3 - 40%" xfId="21" xr:uid="{00000000-0005-0000-0000-000007000000}"/>
    <cellStyle name="Accent3 - 60%" xfId="22" xr:uid="{00000000-0005-0000-0000-000008000000}"/>
    <cellStyle name="Accent4 - 20%" xfId="23" xr:uid="{00000000-0005-0000-0000-000009000000}"/>
    <cellStyle name="Accent4 - 40%" xfId="24" xr:uid="{00000000-0005-0000-0000-00000A000000}"/>
    <cellStyle name="Accent4 - 60%" xfId="25" xr:uid="{00000000-0005-0000-0000-00000B000000}"/>
    <cellStyle name="Accent5 - 20%" xfId="26" xr:uid="{00000000-0005-0000-0000-00000C000000}"/>
    <cellStyle name="Accent5 - 40%" xfId="27" xr:uid="{00000000-0005-0000-0000-00000D000000}"/>
    <cellStyle name="Accent5 - 60%" xfId="28" xr:uid="{00000000-0005-0000-0000-00000E000000}"/>
    <cellStyle name="Accent6 - 20%" xfId="29" xr:uid="{00000000-0005-0000-0000-00000F000000}"/>
    <cellStyle name="Accent6 - 40%" xfId="30" xr:uid="{00000000-0005-0000-0000-000010000000}"/>
    <cellStyle name="Accent6 - 60%" xfId="31" xr:uid="{00000000-0005-0000-0000-000011000000}"/>
    <cellStyle name="Comma" xfId="1" builtinId="3"/>
    <cellStyle name="Comma 2" xfId="5" xr:uid="{00000000-0005-0000-0000-000013000000}"/>
    <cellStyle name="Comma 2 2" xfId="105" xr:uid="{00000000-0005-0000-0000-000014000000}"/>
    <cellStyle name="Comma 3" xfId="32" xr:uid="{00000000-0005-0000-0000-000015000000}"/>
    <cellStyle name="Currency" xfId="2" builtinId="4"/>
    <cellStyle name="Emphasis 1" xfId="33" xr:uid="{00000000-0005-0000-0000-000017000000}"/>
    <cellStyle name="Emphasis 2" xfId="34" xr:uid="{00000000-0005-0000-0000-000018000000}"/>
    <cellStyle name="Emphasis 3" xfId="35" xr:uid="{00000000-0005-0000-0000-000019000000}"/>
    <cellStyle name="Grey" xfId="6" xr:uid="{00000000-0005-0000-0000-00001A000000}"/>
    <cellStyle name="Hyperlink 2" xfId="36" xr:uid="{00000000-0005-0000-0000-00001B000000}"/>
    <cellStyle name="Hyperlink 3" xfId="37" xr:uid="{00000000-0005-0000-0000-00001C000000}"/>
    <cellStyle name="Input [yellow]" xfId="7" xr:uid="{00000000-0005-0000-0000-00001D000000}"/>
    <cellStyle name="Normal" xfId="0" builtinId="0"/>
    <cellStyle name="Normal - Style1" xfId="8" xr:uid="{00000000-0005-0000-0000-00001F000000}"/>
    <cellStyle name="Normal 2" xfId="9" xr:uid="{00000000-0005-0000-0000-000020000000}"/>
    <cellStyle name="Normal 2 2" xfId="104" xr:uid="{00000000-0005-0000-0000-000021000000}"/>
    <cellStyle name="Normal 3" xfId="10" xr:uid="{00000000-0005-0000-0000-000022000000}"/>
    <cellStyle name="Normal 4" xfId="11" xr:uid="{00000000-0005-0000-0000-000023000000}"/>
    <cellStyle name="Normal_test" xfId="3" xr:uid="{00000000-0005-0000-0000-000024000000}"/>
    <cellStyle name="Percent" xfId="4" builtinId="5"/>
    <cellStyle name="Percent [2]" xfId="12" xr:uid="{00000000-0005-0000-0000-000026000000}"/>
    <cellStyle name="Percent 2" xfId="13" xr:uid="{00000000-0005-0000-0000-000027000000}"/>
    <cellStyle name="SAPBEXaggData" xfId="38" xr:uid="{00000000-0005-0000-0000-000028000000}"/>
    <cellStyle name="SAPBEXaggDataEmph" xfId="39" xr:uid="{00000000-0005-0000-0000-000029000000}"/>
    <cellStyle name="SAPBEXaggItem" xfId="40" xr:uid="{00000000-0005-0000-0000-00002A000000}"/>
    <cellStyle name="SAPBEXaggItemX" xfId="41" xr:uid="{00000000-0005-0000-0000-00002B000000}"/>
    <cellStyle name="SAPBEXchaText" xfId="42" xr:uid="{00000000-0005-0000-0000-00002C000000}"/>
    <cellStyle name="SAPBEXexcBad7" xfId="43" xr:uid="{00000000-0005-0000-0000-00002D000000}"/>
    <cellStyle name="SAPBEXexcBad8" xfId="44" xr:uid="{00000000-0005-0000-0000-00002E000000}"/>
    <cellStyle name="SAPBEXexcBad9" xfId="45" xr:uid="{00000000-0005-0000-0000-00002F000000}"/>
    <cellStyle name="SAPBEXexcCritical4" xfId="46" xr:uid="{00000000-0005-0000-0000-000030000000}"/>
    <cellStyle name="SAPBEXexcCritical5" xfId="47" xr:uid="{00000000-0005-0000-0000-000031000000}"/>
    <cellStyle name="SAPBEXexcCritical6" xfId="48" xr:uid="{00000000-0005-0000-0000-000032000000}"/>
    <cellStyle name="SAPBEXexcGood1" xfId="49" xr:uid="{00000000-0005-0000-0000-000033000000}"/>
    <cellStyle name="SAPBEXexcGood2" xfId="50" xr:uid="{00000000-0005-0000-0000-000034000000}"/>
    <cellStyle name="SAPBEXexcGood3" xfId="51" xr:uid="{00000000-0005-0000-0000-000035000000}"/>
    <cellStyle name="SAPBEXfilterDrill" xfId="52" xr:uid="{00000000-0005-0000-0000-000036000000}"/>
    <cellStyle name="SAPBEXfilterItem" xfId="53" xr:uid="{00000000-0005-0000-0000-000037000000}"/>
    <cellStyle name="SAPBEXfilterText" xfId="54" xr:uid="{00000000-0005-0000-0000-000038000000}"/>
    <cellStyle name="SAPBEXfilterText 2" xfId="55" xr:uid="{00000000-0005-0000-0000-000039000000}"/>
    <cellStyle name="SAPBEXfilterText 3" xfId="56" xr:uid="{00000000-0005-0000-0000-00003A000000}"/>
    <cellStyle name="SAPBEXformats" xfId="57" xr:uid="{00000000-0005-0000-0000-00003B000000}"/>
    <cellStyle name="SAPBEXheaderItem" xfId="58" xr:uid="{00000000-0005-0000-0000-00003C000000}"/>
    <cellStyle name="SAPBEXheaderItem 2" xfId="59" xr:uid="{00000000-0005-0000-0000-00003D000000}"/>
    <cellStyle name="SAPBEXheaderItem 3" xfId="60" xr:uid="{00000000-0005-0000-0000-00003E000000}"/>
    <cellStyle name="SAPBEXheaderText" xfId="61" xr:uid="{00000000-0005-0000-0000-00003F000000}"/>
    <cellStyle name="SAPBEXheaderText 2" xfId="62" xr:uid="{00000000-0005-0000-0000-000040000000}"/>
    <cellStyle name="SAPBEXheaderText 3" xfId="63" xr:uid="{00000000-0005-0000-0000-000041000000}"/>
    <cellStyle name="SAPBEXHLevel0" xfId="64" xr:uid="{00000000-0005-0000-0000-000042000000}"/>
    <cellStyle name="SAPBEXHLevel0 2" xfId="65" xr:uid="{00000000-0005-0000-0000-000043000000}"/>
    <cellStyle name="SAPBEXHLevel0 3" xfId="66" xr:uid="{00000000-0005-0000-0000-000044000000}"/>
    <cellStyle name="SAPBEXHLevel0X" xfId="67" xr:uid="{00000000-0005-0000-0000-000045000000}"/>
    <cellStyle name="SAPBEXHLevel0X 2" xfId="68" xr:uid="{00000000-0005-0000-0000-000046000000}"/>
    <cellStyle name="SAPBEXHLevel0X 3" xfId="69" xr:uid="{00000000-0005-0000-0000-000047000000}"/>
    <cellStyle name="SAPBEXHLevel1" xfId="70" xr:uid="{00000000-0005-0000-0000-000048000000}"/>
    <cellStyle name="SAPBEXHLevel1 2" xfId="71" xr:uid="{00000000-0005-0000-0000-000049000000}"/>
    <cellStyle name="SAPBEXHLevel1 3" xfId="72" xr:uid="{00000000-0005-0000-0000-00004A000000}"/>
    <cellStyle name="SAPBEXHLevel1X" xfId="73" xr:uid="{00000000-0005-0000-0000-00004B000000}"/>
    <cellStyle name="SAPBEXHLevel1X 2" xfId="74" xr:uid="{00000000-0005-0000-0000-00004C000000}"/>
    <cellStyle name="SAPBEXHLevel1X 3" xfId="75" xr:uid="{00000000-0005-0000-0000-00004D000000}"/>
    <cellStyle name="SAPBEXHLevel2" xfId="76" xr:uid="{00000000-0005-0000-0000-00004E000000}"/>
    <cellStyle name="SAPBEXHLevel2 2" xfId="77" xr:uid="{00000000-0005-0000-0000-00004F000000}"/>
    <cellStyle name="SAPBEXHLevel2 3" xfId="78" xr:uid="{00000000-0005-0000-0000-000050000000}"/>
    <cellStyle name="SAPBEXHLevel2X" xfId="79" xr:uid="{00000000-0005-0000-0000-000051000000}"/>
    <cellStyle name="SAPBEXHLevel2X 2" xfId="80" xr:uid="{00000000-0005-0000-0000-000052000000}"/>
    <cellStyle name="SAPBEXHLevel2X 3" xfId="81" xr:uid="{00000000-0005-0000-0000-000053000000}"/>
    <cellStyle name="SAPBEXHLevel3" xfId="82" xr:uid="{00000000-0005-0000-0000-000054000000}"/>
    <cellStyle name="SAPBEXHLevel3 2" xfId="83" xr:uid="{00000000-0005-0000-0000-000055000000}"/>
    <cellStyle name="SAPBEXHLevel3 3" xfId="84" xr:uid="{00000000-0005-0000-0000-000056000000}"/>
    <cellStyle name="SAPBEXHLevel3X" xfId="85" xr:uid="{00000000-0005-0000-0000-000057000000}"/>
    <cellStyle name="SAPBEXHLevel3X 2" xfId="86" xr:uid="{00000000-0005-0000-0000-000058000000}"/>
    <cellStyle name="SAPBEXHLevel3X 3" xfId="87" xr:uid="{00000000-0005-0000-0000-000059000000}"/>
    <cellStyle name="SAPBEXinputData" xfId="88" xr:uid="{00000000-0005-0000-0000-00005A000000}"/>
    <cellStyle name="SAPBEXinputData 2" xfId="89" xr:uid="{00000000-0005-0000-0000-00005B000000}"/>
    <cellStyle name="SAPBEXinputData 3" xfId="90" xr:uid="{00000000-0005-0000-0000-00005C000000}"/>
    <cellStyle name="SAPBEXresData" xfId="91" xr:uid="{00000000-0005-0000-0000-00005D000000}"/>
    <cellStyle name="SAPBEXresDataEmph" xfId="92" xr:uid="{00000000-0005-0000-0000-00005E000000}"/>
    <cellStyle name="SAPBEXresItem" xfId="93" xr:uid="{00000000-0005-0000-0000-00005F000000}"/>
    <cellStyle name="SAPBEXresItemX" xfId="94" xr:uid="{00000000-0005-0000-0000-000060000000}"/>
    <cellStyle name="SAPBEXstdData" xfId="95" xr:uid="{00000000-0005-0000-0000-000061000000}"/>
    <cellStyle name="SAPBEXstdDataEmph" xfId="96" xr:uid="{00000000-0005-0000-0000-000062000000}"/>
    <cellStyle name="SAPBEXstdItem" xfId="97" xr:uid="{00000000-0005-0000-0000-000063000000}"/>
    <cellStyle name="SAPBEXstdItemX" xfId="98" xr:uid="{00000000-0005-0000-0000-000064000000}"/>
    <cellStyle name="SAPBEXtitle" xfId="99" xr:uid="{00000000-0005-0000-0000-000065000000}"/>
    <cellStyle name="SAPBEXtitle 2" xfId="100" xr:uid="{00000000-0005-0000-0000-000066000000}"/>
    <cellStyle name="SAPBEXtitle 3" xfId="101" xr:uid="{00000000-0005-0000-0000-000067000000}"/>
    <cellStyle name="SAPBEXundefined" xfId="102" xr:uid="{00000000-0005-0000-0000-000068000000}"/>
    <cellStyle name="Sheet Title" xfId="103" xr:uid="{00000000-0005-0000-0000-000069000000}"/>
    <cellStyle name="Style 1" xfId="106" xr:uid="{00000000-0005-0000-0000-00006A000000}"/>
    <cellStyle name="TTS" xfId="107" xr:uid="{00000000-0005-0000-0000-00006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puget.com/Documents%20and%20Settings/rwilli/Local%20Settings/Temporary%20Internet%20Files/Content.Outlook/XQ5Z1VB6/Analyzer_Unit_Commitment_12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puget.com/Acquisition/Corporate%20Initiatives/Luminaires/Luminaires%20Capi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wu/AppData/Local/Microsoft/Windows/Temporary%20Internet%20Files/Content.Outlook/YFF07S7I/Service%20Disconnect%20Cost%20Benefit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scription"/>
      <sheetName val="Assumptions"/>
      <sheetName val="Inputs"/>
      <sheetName val="Operations(Input)"/>
      <sheetName val="Final Result"/>
      <sheetName val="Cash Flow Statement (Results)"/>
      <sheetName val="Revenue Requirement"/>
      <sheetName val="Results"/>
      <sheetName val="Capital Projects(Input)"/>
      <sheetName val="Depreciation"/>
      <sheetName val="Asset Schedule"/>
      <sheetName val="Tax Statement (Results)"/>
      <sheetName val="Discounted Cash Analysis"/>
      <sheetName val="Tax Depreciation"/>
      <sheetName val="Book Depreciation"/>
      <sheetName val="IS-Output"/>
      <sheetName val="BS-Output"/>
      <sheetName val="CF-Output"/>
      <sheetName val="MACRS RATES"/>
    </sheetNames>
    <sheetDataSet>
      <sheetData sheetId="0" refreshError="1"/>
      <sheetData sheetId="1" refreshError="1"/>
      <sheetData sheetId="2" refreshError="1"/>
      <sheetData sheetId="3">
        <row r="3">
          <cell r="F3" t="str">
            <v>Economic Dispatch/Unit Commitment</v>
          </cell>
        </row>
      </sheetData>
      <sheetData sheetId="4">
        <row r="11">
          <cell r="C11">
            <v>0</v>
          </cell>
          <cell r="D11">
            <v>-3791139.3333333335</v>
          </cell>
          <cell r="E11">
            <v>-6224939</v>
          </cell>
          <cell r="F11">
            <v>-6221570.9000000004</v>
          </cell>
          <cell r="G11">
            <v>-6218101.7570000002</v>
          </cell>
          <cell r="H11">
            <v>-6214528.5397100002</v>
          </cell>
          <cell r="I11">
            <v>-6210848.1259013005</v>
          </cell>
          <cell r="J11">
            <v>-6207057.2996783387</v>
          </cell>
          <cell r="K11">
            <v>-6203152.7486686893</v>
          </cell>
          <cell r="L11">
            <v>-6199131.0611287495</v>
          </cell>
          <cell r="M11">
            <v>-6194988.7229626123</v>
          </cell>
          <cell r="N11">
            <v>-2063574.0382171636</v>
          </cell>
        </row>
      </sheetData>
      <sheetData sheetId="5" refreshError="1"/>
      <sheetData sheetId="6">
        <row r="10">
          <cell r="C10">
            <v>0</v>
          </cell>
        </row>
      </sheetData>
      <sheetData sheetId="7">
        <row r="12">
          <cell r="C12">
            <v>0</v>
          </cell>
        </row>
      </sheetData>
      <sheetData sheetId="8" refreshError="1"/>
      <sheetData sheetId="9">
        <row r="13">
          <cell r="E13">
            <v>2014</v>
          </cell>
        </row>
      </sheetData>
      <sheetData sheetId="10">
        <row r="52">
          <cell r="C52">
            <v>0</v>
          </cell>
        </row>
      </sheetData>
      <sheetData sheetId="11">
        <row r="9">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ow r="3">
          <cell r="A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scription"/>
      <sheetName val="Assumptions (Input)"/>
      <sheetName val="Operations(Input)"/>
      <sheetName val="Capital Projects(Input)"/>
      <sheetName val="Plant(Input)"/>
      <sheetName val="Results-Print"/>
      <sheetName val="Summary of Results"/>
      <sheetName val="Income Statement (Results)"/>
      <sheetName val="Cash Flow Statement (Results)"/>
      <sheetName val="Tax Statement (Results)"/>
      <sheetName val="IS-Output"/>
      <sheetName val="BS-Output"/>
      <sheetName val="CF-Output"/>
      <sheetName val="Capital Projects(Results)"/>
      <sheetName val="Book Depreciation"/>
      <sheetName val="Tax Depreciation"/>
      <sheetName val="MACRS RATES"/>
    </sheetNames>
    <sheetDataSet>
      <sheetData sheetId="0" refreshError="1"/>
      <sheetData sheetId="1" refreshError="1"/>
      <sheetData sheetId="2" refreshError="1"/>
      <sheetData sheetId="3" refreshError="1"/>
      <sheetData sheetId="4" refreshError="1"/>
      <sheetData sheetId="5" refreshError="1">
        <row r="7">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 Switch Cost Benefit"/>
      <sheetName val="Benefits Inputs"/>
    </sheetNames>
    <sheetDataSet>
      <sheetData sheetId="0">
        <row r="17">
          <cell r="AL17">
            <v>618825.02111998841</v>
          </cell>
          <cell r="AW17">
            <v>0</v>
          </cell>
          <cell r="AX17">
            <v>0</v>
          </cell>
          <cell r="AY17">
            <v>0</v>
          </cell>
          <cell r="AZ17">
            <v>0</v>
          </cell>
          <cell r="BA17">
            <v>0</v>
          </cell>
          <cell r="BB17">
            <v>0</v>
          </cell>
          <cell r="BC17">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tabColor rgb="FFFFFF00"/>
    <pageSetUpPr fitToPage="1"/>
  </sheetPr>
  <dimension ref="B2:N73"/>
  <sheetViews>
    <sheetView showGridLines="0" tabSelected="1" zoomScaleNormal="100" workbookViewId="0">
      <selection activeCell="D12" sqref="D12"/>
    </sheetView>
  </sheetViews>
  <sheetFormatPr defaultColWidth="9.1796875" defaultRowHeight="14.5"/>
  <cols>
    <col min="1" max="1" width="2" style="85" customWidth="1"/>
    <col min="2" max="2" width="25.54296875" style="85" customWidth="1"/>
    <col min="3" max="3" width="12.26953125" style="84" customWidth="1"/>
    <col min="4" max="8" width="12.54296875" style="84" bestFit="1" customWidth="1"/>
    <col min="9" max="9" width="12.54296875" style="84" customWidth="1"/>
    <col min="10" max="10" width="13.54296875" style="84" bestFit="1" customWidth="1"/>
    <col min="11" max="11" width="13.1796875" style="84" customWidth="1"/>
    <col min="12" max="13" width="1.26953125" customWidth="1"/>
    <col min="14" max="14" width="11.81640625" style="84" bestFit="1" customWidth="1"/>
    <col min="15" max="15" width="9.1796875" style="85"/>
    <col min="16" max="16" width="17.453125" style="85" bestFit="1" customWidth="1"/>
    <col min="17" max="17" width="10.54296875" style="85" bestFit="1" customWidth="1"/>
    <col min="18" max="16384" width="9.1796875" style="85"/>
  </cols>
  <sheetData>
    <row r="2" spans="2:14">
      <c r="B2" s="231" t="s">
        <v>235</v>
      </c>
    </row>
    <row r="3" spans="2:14">
      <c r="B3" s="52" t="s">
        <v>173</v>
      </c>
    </row>
    <row r="4" spans="2:14">
      <c r="B4" s="52" t="s">
        <v>192</v>
      </c>
    </row>
    <row r="5" spans="2:14">
      <c r="B5" s="52"/>
    </row>
    <row r="6" spans="2:14" ht="7.9" customHeight="1">
      <c r="B6" s="231"/>
    </row>
    <row r="7" spans="2:14" ht="7.9" customHeight="1">
      <c r="C7" s="83"/>
    </row>
    <row r="8" spans="2:14">
      <c r="B8" s="286" t="s">
        <v>176</v>
      </c>
      <c r="C8" s="291" t="s">
        <v>178</v>
      </c>
      <c r="D8" s="287">
        <v>2017</v>
      </c>
      <c r="E8" s="287">
        <v>2018</v>
      </c>
      <c r="F8" s="287">
        <v>2019</v>
      </c>
      <c r="G8" s="287">
        <v>2020</v>
      </c>
      <c r="H8" s="287">
        <v>2021</v>
      </c>
      <c r="I8" s="287">
        <v>2022</v>
      </c>
      <c r="J8" s="287" t="s">
        <v>231</v>
      </c>
      <c r="K8" s="287" t="s">
        <v>201</v>
      </c>
    </row>
    <row r="9" spans="2:14" ht="19.899999999999999" customHeight="1">
      <c r="B9" s="85" t="s">
        <v>72</v>
      </c>
      <c r="C9" s="292"/>
      <c r="D9" s="269">
        <f t="shared" ref="D9:J9" si="0">D54</f>
        <v>0</v>
      </c>
      <c r="E9" s="266">
        <f t="shared" si="0"/>
        <v>744249.81327232393</v>
      </c>
      <c r="F9" s="269">
        <f t="shared" si="0"/>
        <v>3697503.0312221441</v>
      </c>
      <c r="G9" s="269">
        <f t="shared" si="0"/>
        <v>9282471.4587579351</v>
      </c>
      <c r="H9" s="269">
        <f t="shared" si="0"/>
        <v>18059312.054641351</v>
      </c>
      <c r="I9" s="269">
        <f t="shared" ref="I9" si="1">I54</f>
        <v>25275704.912941299</v>
      </c>
      <c r="J9" s="269">
        <f t="shared" si="0"/>
        <v>728421991.70567536</v>
      </c>
      <c r="K9" s="87" t="s">
        <v>168</v>
      </c>
    </row>
    <row r="10" spans="2:14">
      <c r="B10" s="85" t="s">
        <v>88</v>
      </c>
      <c r="C10" s="280"/>
      <c r="D10" s="269">
        <f>D51</f>
        <v>0</v>
      </c>
      <c r="E10" s="269">
        <f t="shared" ref="E10:J10" si="2">E51</f>
        <v>1060232.5588277213</v>
      </c>
      <c r="F10" s="269">
        <f t="shared" si="2"/>
        <v>4814497.586896481</v>
      </c>
      <c r="G10" s="269">
        <f t="shared" si="2"/>
        <v>12030737.009694118</v>
      </c>
      <c r="H10" s="269">
        <f t="shared" si="2"/>
        <v>22779105.783878557</v>
      </c>
      <c r="I10" s="269">
        <f t="shared" ref="I10" si="3">I51</f>
        <v>31605207.00042665</v>
      </c>
      <c r="J10" s="269">
        <f t="shared" si="2"/>
        <v>837045637.00477207</v>
      </c>
      <c r="K10" s="87" t="s">
        <v>168</v>
      </c>
    </row>
    <row r="11" spans="2:14" ht="12.65" customHeight="1">
      <c r="C11" s="280"/>
      <c r="D11" s="293"/>
      <c r="E11" s="293"/>
      <c r="F11" s="293"/>
      <c r="G11" s="293"/>
      <c r="H11" s="293"/>
      <c r="I11" s="293"/>
      <c r="J11" s="293"/>
      <c r="K11" s="89"/>
    </row>
    <row r="12" spans="2:14">
      <c r="B12" s="85" t="s">
        <v>206</v>
      </c>
      <c r="C12" s="280">
        <f>'Cash Flow Statement (Results)'!C24</f>
        <v>7787452.7272398286</v>
      </c>
      <c r="D12" s="293"/>
      <c r="E12" s="293"/>
      <c r="F12" s="293"/>
      <c r="G12" s="293"/>
      <c r="H12" s="293"/>
      <c r="I12" s="293"/>
      <c r="J12" s="293"/>
      <c r="K12" s="89"/>
    </row>
    <row r="13" spans="2:14">
      <c r="B13" s="85" t="s">
        <v>205</v>
      </c>
      <c r="C13" s="91">
        <f>'Cash Flow Statement (Results)'!$C$16</f>
        <v>27.132759740878296</v>
      </c>
      <c r="D13" s="294"/>
      <c r="E13" s="293"/>
      <c r="F13" s="293"/>
      <c r="G13" s="293"/>
      <c r="H13" s="293"/>
      <c r="I13" s="293"/>
      <c r="J13" s="293"/>
      <c r="K13" s="89"/>
    </row>
    <row r="14" spans="2:14">
      <c r="B14" s="85" t="s">
        <v>199</v>
      </c>
      <c r="C14" s="280">
        <f>'Financial Assumptions'!$C$10</f>
        <v>20</v>
      </c>
      <c r="D14" s="294"/>
      <c r="E14" s="293"/>
      <c r="F14" s="293"/>
      <c r="G14" s="293"/>
      <c r="H14" s="293"/>
      <c r="I14" s="293"/>
      <c r="J14" s="293"/>
      <c r="K14" s="89"/>
    </row>
    <row r="15" spans="2:14">
      <c r="C15" s="280"/>
      <c r="D15" s="294"/>
      <c r="E15" s="293"/>
      <c r="F15" s="293"/>
      <c r="G15" s="293"/>
      <c r="H15" s="293"/>
      <c r="I15" s="293"/>
      <c r="J15" s="293"/>
      <c r="K15" s="89"/>
    </row>
    <row r="16" spans="2:14" s="82" customFormat="1">
      <c r="B16" s="85" t="s">
        <v>233</v>
      </c>
      <c r="C16" s="365">
        <f>'Revenue Requirement'!C23</f>
        <v>128342894.5317491</v>
      </c>
      <c r="D16" s="296"/>
      <c r="E16" s="296"/>
      <c r="F16" s="296"/>
      <c r="G16" s="296"/>
      <c r="H16" s="296"/>
      <c r="I16" s="296"/>
      <c r="J16" s="296"/>
      <c r="L16"/>
      <c r="M16"/>
      <c r="N16" s="86"/>
    </row>
    <row r="17" spans="2:14" s="82" customFormat="1">
      <c r="B17" s="85"/>
      <c r="C17" s="295"/>
      <c r="D17" s="296"/>
      <c r="E17" s="296"/>
      <c r="F17" s="296"/>
      <c r="G17" s="296"/>
      <c r="H17" s="296"/>
      <c r="I17" s="296"/>
      <c r="J17" s="296"/>
      <c r="L17"/>
      <c r="M17"/>
      <c r="N17" s="86"/>
    </row>
    <row r="18" spans="2:14">
      <c r="B18" s="286" t="s">
        <v>177</v>
      </c>
      <c r="C18" s="297" t="str">
        <f>C$8</f>
        <v>TOTAL</v>
      </c>
      <c r="D18" s="331">
        <f>D$8</f>
        <v>2017</v>
      </c>
      <c r="E18" s="331">
        <f t="shared" ref="E18:K18" si="4">E$8</f>
        <v>2018</v>
      </c>
      <c r="F18" s="331">
        <f t="shared" si="4"/>
        <v>2019</v>
      </c>
      <c r="G18" s="331">
        <f t="shared" si="4"/>
        <v>2020</v>
      </c>
      <c r="H18" s="331">
        <f t="shared" si="4"/>
        <v>2021</v>
      </c>
      <c r="I18" s="331">
        <f t="shared" si="4"/>
        <v>2022</v>
      </c>
      <c r="J18" s="298" t="str">
        <f t="shared" si="4"/>
        <v>2023+</v>
      </c>
      <c r="K18" s="287" t="str">
        <f t="shared" si="4"/>
        <v>In 5-yr Plan?</v>
      </c>
    </row>
    <row r="19" spans="2:14" ht="19.899999999999999" customHeight="1">
      <c r="B19" s="82" t="s">
        <v>200</v>
      </c>
      <c r="C19" s="299"/>
      <c r="D19" s="300"/>
      <c r="E19" s="300"/>
      <c r="F19" s="300"/>
      <c r="G19" s="300"/>
      <c r="H19" s="300"/>
      <c r="I19" s="300"/>
      <c r="J19" s="300"/>
      <c r="K19" s="97"/>
    </row>
    <row r="20" spans="2:14">
      <c r="B20" s="85" t="s">
        <v>179</v>
      </c>
      <c r="C20" s="301">
        <f>SUM(D20:J20)</f>
        <v>0</v>
      </c>
      <c r="D20" s="302">
        <v>0</v>
      </c>
      <c r="E20" s="302">
        <v>0</v>
      </c>
      <c r="F20" s="302">
        <v>0</v>
      </c>
      <c r="G20" s="302">
        <v>0</v>
      </c>
      <c r="H20" s="302">
        <v>0</v>
      </c>
      <c r="I20" s="302">
        <v>0</v>
      </c>
      <c r="J20" s="302">
        <v>0</v>
      </c>
      <c r="K20" s="97"/>
    </row>
    <row r="21" spans="2:14">
      <c r="B21" s="85" t="s">
        <v>180</v>
      </c>
      <c r="C21" s="301">
        <f t="shared" ref="C21:C25" si="5">SUM(D21:J21)</f>
        <v>0</v>
      </c>
      <c r="D21" s="302">
        <v>0</v>
      </c>
      <c r="E21" s="302">
        <v>0</v>
      </c>
      <c r="F21" s="302">
        <v>0</v>
      </c>
      <c r="G21" s="302">
        <v>0</v>
      </c>
      <c r="H21" s="302">
        <v>0</v>
      </c>
      <c r="I21" s="302">
        <v>0</v>
      </c>
      <c r="J21" s="302">
        <v>0</v>
      </c>
      <c r="K21" s="97"/>
    </row>
    <row r="22" spans="2:14">
      <c r="B22" s="85" t="s">
        <v>181</v>
      </c>
      <c r="C22" s="301">
        <f t="shared" si="5"/>
        <v>0</v>
      </c>
      <c r="D22" s="302">
        <v>0</v>
      </c>
      <c r="E22" s="302">
        <v>0</v>
      </c>
      <c r="F22" s="302">
        <v>0</v>
      </c>
      <c r="G22" s="302">
        <v>0</v>
      </c>
      <c r="H22" s="302">
        <v>0</v>
      </c>
      <c r="I22" s="302">
        <v>0</v>
      </c>
      <c r="J22" s="302">
        <v>0</v>
      </c>
      <c r="K22" s="97"/>
    </row>
    <row r="23" spans="2:14">
      <c r="B23" s="85" t="s">
        <v>182</v>
      </c>
      <c r="C23" s="301">
        <f t="shared" si="5"/>
        <v>0</v>
      </c>
      <c r="D23" s="302">
        <v>0</v>
      </c>
      <c r="E23" s="302">
        <v>0</v>
      </c>
      <c r="F23" s="302">
        <v>0</v>
      </c>
      <c r="G23" s="302">
        <v>0</v>
      </c>
      <c r="H23" s="302">
        <v>0</v>
      </c>
      <c r="I23" s="302">
        <v>0</v>
      </c>
      <c r="J23" s="302">
        <v>0</v>
      </c>
      <c r="K23" s="98"/>
    </row>
    <row r="24" spans="2:14">
      <c r="B24" s="85" t="s">
        <v>183</v>
      </c>
      <c r="C24" s="301">
        <f>SUM(D24:J24)</f>
        <v>438368311.89891565</v>
      </c>
      <c r="D24" s="303">
        <f>'Project Assumptions'!J37</f>
        <v>32342118.307692379</v>
      </c>
      <c r="E24" s="303">
        <f>'Project Assumptions'!K37</f>
        <v>76704140.577343047</v>
      </c>
      <c r="F24" s="303">
        <f>'Project Assumptions'!L37</f>
        <v>63560675.937072933</v>
      </c>
      <c r="G24" s="303">
        <f>'Project Assumptions'!M37</f>
        <v>65786296.585617647</v>
      </c>
      <c r="H24" s="303">
        <f>'Project Assumptions'!N37</f>
        <v>67759885.48318617</v>
      </c>
      <c r="I24" s="303">
        <f>'Project Assumptions'!O37</f>
        <v>69792682.047681749</v>
      </c>
      <c r="J24" s="303">
        <f>SUM('Project Assumptions'!P37:T37)</f>
        <v>62422512.960321754</v>
      </c>
      <c r="K24" s="98"/>
    </row>
    <row r="25" spans="2:14">
      <c r="B25" s="85" t="s">
        <v>184</v>
      </c>
      <c r="C25" s="301">
        <f t="shared" si="5"/>
        <v>0</v>
      </c>
      <c r="D25" s="302">
        <v>0</v>
      </c>
      <c r="E25" s="302">
        <v>0</v>
      </c>
      <c r="F25" s="302">
        <v>0</v>
      </c>
      <c r="G25" s="302">
        <v>0</v>
      </c>
      <c r="H25" s="302">
        <v>0</v>
      </c>
      <c r="I25" s="302">
        <v>0</v>
      </c>
      <c r="J25" s="302">
        <v>0</v>
      </c>
      <c r="K25" s="98"/>
    </row>
    <row r="26" spans="2:14">
      <c r="B26" s="85" t="s">
        <v>185</v>
      </c>
      <c r="C26" s="301">
        <f t="shared" ref="C26" si="6">SUM(D26:J26)</f>
        <v>0</v>
      </c>
      <c r="D26" s="302">
        <v>0</v>
      </c>
      <c r="E26" s="302">
        <v>0</v>
      </c>
      <c r="F26" s="302">
        <v>0</v>
      </c>
      <c r="G26" s="302">
        <v>0</v>
      </c>
      <c r="H26" s="302">
        <v>0</v>
      </c>
      <c r="I26" s="302">
        <v>0</v>
      </c>
      <c r="J26" s="302">
        <v>0</v>
      </c>
      <c r="K26" s="98"/>
    </row>
    <row r="27" spans="2:14">
      <c r="B27" s="85" t="s">
        <v>186</v>
      </c>
      <c r="C27" s="301">
        <f>SUM(D27:J27)</f>
        <v>0</v>
      </c>
      <c r="D27" s="302">
        <v>0</v>
      </c>
      <c r="E27" s="302">
        <v>0</v>
      </c>
      <c r="F27" s="302">
        <v>0</v>
      </c>
      <c r="G27" s="302">
        <v>0</v>
      </c>
      <c r="H27" s="302">
        <v>0</v>
      </c>
      <c r="I27" s="302">
        <v>0</v>
      </c>
      <c r="J27" s="302">
        <v>0</v>
      </c>
      <c r="K27" s="98"/>
    </row>
    <row r="28" spans="2:14">
      <c r="B28" s="96" t="str">
        <f>"Total"&amp;" "&amp;$B$19</f>
        <v>Total CAPEX (excl AFUDC)</v>
      </c>
      <c r="C28" s="304">
        <f t="shared" ref="C28:J28" si="7">SUM(C20:C27)</f>
        <v>438368311.89891565</v>
      </c>
      <c r="D28" s="305">
        <f t="shared" si="7"/>
        <v>32342118.307692379</v>
      </c>
      <c r="E28" s="305">
        <f t="shared" si="7"/>
        <v>76704140.577343047</v>
      </c>
      <c r="F28" s="305">
        <f t="shared" si="7"/>
        <v>63560675.937072933</v>
      </c>
      <c r="G28" s="305">
        <f t="shared" si="7"/>
        <v>65786296.585617647</v>
      </c>
      <c r="H28" s="305">
        <f t="shared" si="7"/>
        <v>67759885.48318617</v>
      </c>
      <c r="I28" s="305">
        <f t="shared" si="7"/>
        <v>69792682.047681749</v>
      </c>
      <c r="J28" s="305">
        <f t="shared" si="7"/>
        <v>62422512.960321754</v>
      </c>
      <c r="K28" s="100"/>
    </row>
    <row r="29" spans="2:14" ht="7.9" customHeight="1">
      <c r="B29" s="82"/>
      <c r="C29" s="306"/>
      <c r="D29" s="307"/>
      <c r="E29" s="307"/>
      <c r="F29" s="307"/>
      <c r="G29" s="307"/>
      <c r="H29" s="307"/>
      <c r="I29" s="307"/>
      <c r="J29" s="307"/>
      <c r="K29" s="101"/>
    </row>
    <row r="30" spans="2:14" s="82" customFormat="1">
      <c r="B30" s="82" t="s">
        <v>137</v>
      </c>
      <c r="C30" s="306">
        <f>SUM(D30:J30)</f>
        <v>0</v>
      </c>
      <c r="D30" s="307">
        <f>'Project Assumptions'!I13</f>
        <v>0</v>
      </c>
      <c r="E30" s="307">
        <f>'Project Assumptions'!J13</f>
        <v>0</v>
      </c>
      <c r="F30" s="307">
        <f>'Project Assumptions'!K13</f>
        <v>0</v>
      </c>
      <c r="G30" s="307">
        <f>'Project Assumptions'!L13</f>
        <v>0</v>
      </c>
      <c r="H30" s="307">
        <f>'Project Assumptions'!M13</f>
        <v>0</v>
      </c>
      <c r="I30" s="307">
        <f>'Project Assumptions'!N13</f>
        <v>0</v>
      </c>
      <c r="J30" s="307">
        <f>SUM('Project Assumptions'!O13:BC13)</f>
        <v>0</v>
      </c>
      <c r="K30" s="101"/>
      <c r="L30" s="1"/>
      <c r="M30" s="1"/>
      <c r="N30" s="86"/>
    </row>
    <row r="31" spans="2:14" ht="10.9" customHeight="1">
      <c r="B31" s="82"/>
      <c r="C31" s="306"/>
      <c r="D31" s="307"/>
      <c r="E31" s="307"/>
      <c r="F31" s="307"/>
      <c r="G31" s="307"/>
      <c r="H31" s="307"/>
      <c r="I31" s="307"/>
      <c r="J31" s="307"/>
      <c r="K31" s="101"/>
    </row>
    <row r="32" spans="2:14">
      <c r="B32" s="82" t="s">
        <v>172</v>
      </c>
      <c r="C32" s="306"/>
      <c r="D32" s="307"/>
      <c r="E32" s="307"/>
      <c r="F32" s="307"/>
      <c r="G32" s="307"/>
      <c r="H32" s="307"/>
      <c r="I32" s="307"/>
      <c r="J32" s="307"/>
      <c r="K32" s="101"/>
    </row>
    <row r="33" spans="2:14">
      <c r="B33" s="85" t="s">
        <v>187</v>
      </c>
      <c r="C33" s="308">
        <f>SUM(D33:J33)</f>
        <v>0</v>
      </c>
      <c r="D33" s="366">
        <f>'Project Assumptions'!J7</f>
        <v>0</v>
      </c>
      <c r="E33" s="366">
        <f>'Project Assumptions'!K7</f>
        <v>0</v>
      </c>
      <c r="F33" s="366">
        <f>'Project Assumptions'!L7</f>
        <v>0</v>
      </c>
      <c r="G33" s="366">
        <f>'Project Assumptions'!M7</f>
        <v>0</v>
      </c>
      <c r="H33" s="366">
        <f>'Project Assumptions'!N7</f>
        <v>0</v>
      </c>
      <c r="I33" s="366">
        <f>'Project Assumptions'!O7</f>
        <v>0</v>
      </c>
      <c r="J33" s="366">
        <f>SUM('Project Assumptions'!P7:AD7)</f>
        <v>0</v>
      </c>
      <c r="K33" s="102"/>
    </row>
    <row r="34" spans="2:14">
      <c r="B34" s="85" t="s">
        <v>188</v>
      </c>
      <c r="C34" s="308"/>
      <c r="D34" s="303"/>
      <c r="E34" s="303"/>
      <c r="F34" s="303"/>
      <c r="G34" s="303"/>
      <c r="H34" s="303"/>
      <c r="I34" s="303">
        <f>'Project Assumptions'!J8</f>
        <v>0</v>
      </c>
      <c r="J34" s="303">
        <f>SUM('Project Assumptions'!K8:Y8)</f>
        <v>0</v>
      </c>
      <c r="K34" s="102"/>
    </row>
    <row r="35" spans="2:14">
      <c r="B35" s="85" t="s">
        <v>189</v>
      </c>
      <c r="C35" s="308">
        <f>SUM(D35:J35)</f>
        <v>-667732671.72549558</v>
      </c>
      <c r="D35" s="303">
        <f>'Project Assumptions'!J9</f>
        <v>-6574696.2122196537</v>
      </c>
      <c r="E35" s="303">
        <f>'Project Assumptions'!K9</f>
        <v>-7669793.5460921042</v>
      </c>
      <c r="F35" s="303">
        <f>'Project Assumptions'!L9</f>
        <v>-14185582.545780562</v>
      </c>
      <c r="G35" s="303">
        <f>'Project Assumptions'!M9</f>
        <v>-12031867.087939808</v>
      </c>
      <c r="H35" s="303">
        <f>'Project Assumptions'!N9</f>
        <v>-12770405.637546735</v>
      </c>
      <c r="I35" s="303">
        <f>'Project Assumptions'!O9</f>
        <v>-14869542.307376042</v>
      </c>
      <c r="J35" s="98">
        <f>SUM('Project Assumptions'!P9:AD9)</f>
        <v>-599630784.38854074</v>
      </c>
      <c r="K35" s="102"/>
    </row>
    <row r="36" spans="2:14">
      <c r="B36" s="96" t="str">
        <f>"Total"&amp;" "&amp;$B$32</f>
        <v>Total Increm Costs/Benefits</v>
      </c>
      <c r="C36" s="309">
        <f>SUM(C33:C35)</f>
        <v>-667732671.72549558</v>
      </c>
      <c r="D36" s="310">
        <f>SUM(D33:D35)</f>
        <v>-6574696.2122196537</v>
      </c>
      <c r="E36" s="310">
        <f t="shared" ref="E36:J36" si="8">SUM(E33:E35)</f>
        <v>-7669793.5460921042</v>
      </c>
      <c r="F36" s="310">
        <f t="shared" si="8"/>
        <v>-14185582.545780562</v>
      </c>
      <c r="G36" s="310">
        <f t="shared" si="8"/>
        <v>-12031867.087939808</v>
      </c>
      <c r="H36" s="310">
        <f t="shared" si="8"/>
        <v>-12770405.637546735</v>
      </c>
      <c r="I36" s="310">
        <f t="shared" si="8"/>
        <v>-14869542.307376042</v>
      </c>
      <c r="J36" s="310">
        <f t="shared" si="8"/>
        <v>-599630784.38854074</v>
      </c>
      <c r="K36" s="103"/>
    </row>
    <row r="37" spans="2:14">
      <c r="C37" s="301"/>
      <c r="D37" s="303"/>
      <c r="E37" s="303"/>
      <c r="F37" s="303"/>
      <c r="G37" s="303"/>
      <c r="H37" s="303"/>
      <c r="I37" s="303"/>
      <c r="J37" s="303"/>
      <c r="K37" s="98"/>
    </row>
    <row r="38" spans="2:14">
      <c r="C38" s="311"/>
      <c r="D38" s="312"/>
      <c r="E38" s="312"/>
      <c r="F38" s="312"/>
      <c r="G38" s="313"/>
      <c r="H38" s="313"/>
      <c r="I38" s="313"/>
      <c r="J38" s="314"/>
      <c r="K38" s="104"/>
      <c r="N38" s="93"/>
    </row>
    <row r="39" spans="2:14" s="82" customFormat="1">
      <c r="B39" s="286" t="s">
        <v>190</v>
      </c>
      <c r="C39" s="297" t="str">
        <f>C$8</f>
        <v>TOTAL</v>
      </c>
      <c r="D39" s="331">
        <f>D$8</f>
        <v>2017</v>
      </c>
      <c r="E39" s="331">
        <f t="shared" ref="E39:K39" si="9">E$8</f>
        <v>2018</v>
      </c>
      <c r="F39" s="331">
        <f t="shared" si="9"/>
        <v>2019</v>
      </c>
      <c r="G39" s="331">
        <f t="shared" si="9"/>
        <v>2020</v>
      </c>
      <c r="H39" s="331">
        <f t="shared" si="9"/>
        <v>2021</v>
      </c>
      <c r="I39" s="331">
        <f t="shared" si="9"/>
        <v>2022</v>
      </c>
      <c r="J39" s="298" t="str">
        <f t="shared" si="9"/>
        <v>2023+</v>
      </c>
      <c r="K39" s="287" t="str">
        <f t="shared" si="9"/>
        <v>In 5-yr Plan?</v>
      </c>
      <c r="L39" s="1"/>
      <c r="M39" s="1"/>
      <c r="N39" s="86"/>
    </row>
    <row r="40" spans="2:14" ht="21" customHeight="1">
      <c r="B40" s="82" t="s">
        <v>54</v>
      </c>
      <c r="C40" s="315"/>
      <c r="D40" s="266">
        <f>'Income Statement (Results)'!C6</f>
        <v>-494884.6152455663</v>
      </c>
      <c r="E40" s="266">
        <f>'Income Statement (Results)'!D6</f>
        <v>-5775517.0228235573</v>
      </c>
      <c r="F40" s="266">
        <f>'Income Statement (Results)'!E6</f>
        <v>-2990464.9761160687</v>
      </c>
      <c r="G40" s="266">
        <f>'Income Statement (Results)'!F6</f>
        <v>-2256855.4001743235</v>
      </c>
      <c r="H40" s="266">
        <f>'Income Statement (Results)'!G6</f>
        <v>11256010.364410086</v>
      </c>
      <c r="I40" s="266">
        <f>'Income Statement (Results)'!H6</f>
        <v>19726436.282865431</v>
      </c>
      <c r="J40" s="266">
        <f>SUM('Income Statement (Results)'!I6:BC6)</f>
        <v>233080551.22418866</v>
      </c>
      <c r="K40" s="266"/>
      <c r="N40" s="93"/>
    </row>
    <row r="41" spans="2:14">
      <c r="C41" s="315"/>
      <c r="D41" s="266"/>
      <c r="E41" s="266"/>
      <c r="F41" s="266"/>
      <c r="G41" s="266"/>
      <c r="H41" s="266"/>
      <c r="I41" s="266"/>
      <c r="J41" s="266"/>
      <c r="K41" s="88"/>
      <c r="N41" s="93"/>
    </row>
    <row r="42" spans="2:14">
      <c r="B42" s="82" t="s">
        <v>141</v>
      </c>
      <c r="C42" s="306"/>
      <c r="D42" s="267"/>
      <c r="E42" s="267"/>
      <c r="F42" s="267"/>
      <c r="G42" s="267"/>
      <c r="H42" s="267"/>
      <c r="I42" s="267"/>
      <c r="J42" s="267"/>
      <c r="K42" s="105"/>
      <c r="N42" s="93"/>
    </row>
    <row r="43" spans="2:14">
      <c r="B43" s="85" t="s">
        <v>193</v>
      </c>
      <c r="C43" s="306"/>
      <c r="D43" s="267">
        <f>'Income Statement (Results)'!C9</f>
        <v>-472515.83063646668</v>
      </c>
      <c r="E43" s="267">
        <f>'Income Statement (Results)'!D9</f>
        <v>-6574696.2122196537</v>
      </c>
      <c r="F43" s="267">
        <f>'Income Statement (Results)'!E9</f>
        <v>-7669793.5460921042</v>
      </c>
      <c r="G43" s="267">
        <f>'Income Statement (Results)'!F9</f>
        <v>-14185582.545780562</v>
      </c>
      <c r="H43" s="267">
        <f>'Income Statement (Results)'!G9</f>
        <v>-12031867.087939808</v>
      </c>
      <c r="I43" s="267">
        <f>'Income Statement (Results)'!H9</f>
        <v>-12770405.637546735</v>
      </c>
      <c r="J43" s="267">
        <f>SUM('Income Statement (Results)'!I9:BC9)</f>
        <v>-614500326.69591677</v>
      </c>
      <c r="K43" s="267"/>
      <c r="N43" s="93"/>
    </row>
    <row r="44" spans="2:14">
      <c r="B44" s="85" t="s">
        <v>194</v>
      </c>
      <c r="C44" s="306"/>
      <c r="D44" s="267">
        <f>'Income Statement (Results)'!C10</f>
        <v>0</v>
      </c>
      <c r="E44" s="267">
        <f>'Income Statement (Results)'!D10</f>
        <v>0</v>
      </c>
      <c r="F44" s="267">
        <f>'Income Statement (Results)'!E10</f>
        <v>0</v>
      </c>
      <c r="G44" s="267">
        <f>'Income Statement (Results)'!F10</f>
        <v>0</v>
      </c>
      <c r="H44" s="267">
        <f>'Income Statement (Results)'!G10</f>
        <v>0</v>
      </c>
      <c r="I44" s="267">
        <f>'Income Statement (Results)'!H10</f>
        <v>0</v>
      </c>
      <c r="J44" s="267">
        <f>'Income Statement (Results)'!I10</f>
        <v>0</v>
      </c>
      <c r="K44" s="267"/>
      <c r="N44" s="93"/>
    </row>
    <row r="45" spans="2:14">
      <c r="B45" s="85" t="s">
        <v>195</v>
      </c>
      <c r="C45" s="301"/>
      <c r="D45" s="268">
        <f>'Income Statement (Results)'!C12</f>
        <v>0</v>
      </c>
      <c r="E45" s="268">
        <f>'Income Statement (Results)'!D12</f>
        <v>0</v>
      </c>
      <c r="F45" s="268">
        <f>'Income Statement (Results)'!E12</f>
        <v>1066590.4222895724</v>
      </c>
      <c r="G45" s="268">
        <f>'Income Statement (Results)'!F12</f>
        <v>2809345.4672995768</v>
      </c>
      <c r="H45" s="268">
        <f>'Income Statement (Results)'!G12</f>
        <v>6942548.082309708</v>
      </c>
      <c r="I45" s="268">
        <f>'Income Statement (Results)'!H12</f>
        <v>10367515.105178883</v>
      </c>
      <c r="J45" s="268">
        <f>SUM('Income Statement (Results)'!I12:BC12)</f>
        <v>472575339.10217524</v>
      </c>
      <c r="K45" s="268"/>
      <c r="N45" s="93"/>
    </row>
    <row r="46" spans="2:14">
      <c r="B46" s="85" t="s">
        <v>196</v>
      </c>
      <c r="C46" s="301"/>
      <c r="D46" s="268">
        <f>'Income Statement (Results)'!C13</f>
        <v>-22368.784609099595</v>
      </c>
      <c r="E46" s="268">
        <f>'Income Statement (Results)'!D13</f>
        <v>-261053.36943162477</v>
      </c>
      <c r="F46" s="268">
        <f>'Income Statement (Results)'!E13</f>
        <v>-135169.0169204463</v>
      </c>
      <c r="G46" s="268">
        <f>'Income Statement (Results)'!F13</f>
        <v>-102009.86408787941</v>
      </c>
      <c r="H46" s="268">
        <f>'Income Statement (Results)'!G13</f>
        <v>508771.66847133584</v>
      </c>
      <c r="I46" s="268">
        <f>'Income Statement (Results)'!H13</f>
        <v>891634.91998551739</v>
      </c>
      <c r="J46" s="268">
        <f>SUM('Income Statement (Results)'!I13:BC13)</f>
        <v>10535240.915333329</v>
      </c>
      <c r="K46" s="268"/>
      <c r="N46" s="93"/>
    </row>
    <row r="47" spans="2:14">
      <c r="B47" s="85" t="s">
        <v>197</v>
      </c>
      <c r="C47" s="301"/>
      <c r="D47" s="268">
        <f>'Income Statement (Results)'!C16+'Income Statement (Results)'!C17</f>
        <v>0</v>
      </c>
      <c r="E47" s="268">
        <f>'Income Statement (Results)'!D16+'Income Statement (Results)'!D17</f>
        <v>260487.43464531354</v>
      </c>
      <c r="F47" s="268">
        <f>'Income Statement (Results)'!E16+'Income Statement (Results)'!E17</f>
        <v>920819.41312640021</v>
      </c>
      <c r="G47" s="268">
        <f>'Income Statement (Results)'!F16+'Income Statement (Results)'!F17</f>
        <v>2265594.0970104253</v>
      </c>
      <c r="H47" s="268">
        <f>'Income Statement (Results)'!G16+'Income Statement (Results)'!G17</f>
        <v>3890867.3903160747</v>
      </c>
      <c r="I47" s="268">
        <f>'Income Statement (Results)'!H16+'Income Statement (Results)'!H17</f>
        <v>5217866.4327168446</v>
      </c>
      <c r="J47" s="268">
        <f>SUM('Income Statement (Results)'!I16:BC17)</f>
        <v>89546328.411224991</v>
      </c>
      <c r="K47" s="268"/>
      <c r="N47" s="93"/>
    </row>
    <row r="48" spans="2:14">
      <c r="B48" s="96" t="s">
        <v>61</v>
      </c>
      <c r="C48" s="316"/>
      <c r="D48" s="317">
        <f>SUM(D43:D47)</f>
        <v>-494884.6152455663</v>
      </c>
      <c r="E48" s="317">
        <f t="shared" ref="E48:H48" si="10">SUM(E43:E47)</f>
        <v>-6575262.147005965</v>
      </c>
      <c r="F48" s="317">
        <f t="shared" si="10"/>
        <v>-5817552.7275965773</v>
      </c>
      <c r="G48" s="317">
        <f t="shared" si="10"/>
        <v>-9212652.8455584385</v>
      </c>
      <c r="H48" s="317">
        <f t="shared" si="10"/>
        <v>-689679.94684269</v>
      </c>
      <c r="I48" s="317">
        <f t="shared" ref="I48" si="11">SUM(I43:I47)</f>
        <v>3706610.8203345104</v>
      </c>
      <c r="J48" s="317">
        <f>SUM(J43:J47)</f>
        <v>-41843418.267183214</v>
      </c>
      <c r="K48" s="288"/>
      <c r="N48" s="93"/>
    </row>
    <row r="49" spans="2:14" ht="9" customHeight="1">
      <c r="C49" s="315"/>
      <c r="D49" s="266"/>
      <c r="E49" s="266"/>
      <c r="F49" s="266"/>
      <c r="G49" s="266"/>
      <c r="H49" s="266"/>
      <c r="I49" s="266"/>
      <c r="J49" s="266"/>
      <c r="K49" s="88"/>
      <c r="N49" s="93"/>
    </row>
    <row r="50" spans="2:14" s="82" customFormat="1">
      <c r="B50" s="289" t="s">
        <v>69</v>
      </c>
      <c r="C50" s="318"/>
      <c r="D50" s="319">
        <f t="shared" ref="D50:H50" si="12">D40-D48</f>
        <v>0</v>
      </c>
      <c r="E50" s="319">
        <f t="shared" si="12"/>
        <v>799745.12418240774</v>
      </c>
      <c r="F50" s="319">
        <f t="shared" si="12"/>
        <v>2827087.7514805086</v>
      </c>
      <c r="G50" s="319">
        <f t="shared" si="12"/>
        <v>6955797.445384115</v>
      </c>
      <c r="H50" s="319">
        <f t="shared" si="12"/>
        <v>11945690.311252777</v>
      </c>
      <c r="I50" s="319">
        <f t="shared" ref="I50" si="13">I40-I48</f>
        <v>16019825.46253092</v>
      </c>
      <c r="J50" s="319">
        <f>J40-J48</f>
        <v>274923969.49137187</v>
      </c>
      <c r="K50" s="290"/>
      <c r="L50" s="1"/>
      <c r="M50" s="1"/>
      <c r="N50" s="95"/>
    </row>
    <row r="51" spans="2:14" s="350" customFormat="1">
      <c r="B51" s="289" t="s">
        <v>88</v>
      </c>
      <c r="C51" s="346"/>
      <c r="D51" s="347">
        <f>D50+D45+D47</f>
        <v>0</v>
      </c>
      <c r="E51" s="347">
        <f t="shared" ref="E51:J51" si="14">E50+E45+E47</f>
        <v>1060232.5588277213</v>
      </c>
      <c r="F51" s="347">
        <f t="shared" si="14"/>
        <v>4814497.586896481</v>
      </c>
      <c r="G51" s="347">
        <f t="shared" si="14"/>
        <v>12030737.009694118</v>
      </c>
      <c r="H51" s="347">
        <f t="shared" si="14"/>
        <v>22779105.783878557</v>
      </c>
      <c r="I51" s="347">
        <f t="shared" ref="I51" si="15">I50+I45+I47</f>
        <v>31605207.00042665</v>
      </c>
      <c r="J51" s="347">
        <f t="shared" si="14"/>
        <v>837045637.00477207</v>
      </c>
      <c r="K51" s="348"/>
      <c r="L51" s="1"/>
      <c r="M51" s="1"/>
      <c r="N51" s="349"/>
    </row>
    <row r="52" spans="2:14">
      <c r="C52" s="301"/>
      <c r="D52" s="268"/>
      <c r="E52" s="268"/>
      <c r="F52" s="268"/>
      <c r="G52" s="268"/>
      <c r="H52" s="268"/>
      <c r="I52" s="268"/>
      <c r="J52" s="268"/>
      <c r="K52" s="99"/>
      <c r="N52" s="93"/>
    </row>
    <row r="53" spans="2:14">
      <c r="B53" s="106" t="s">
        <v>70</v>
      </c>
      <c r="C53" s="301"/>
      <c r="D53" s="268">
        <f>-'Income Statement (Results)'!C24</f>
        <v>0</v>
      </c>
      <c r="E53" s="268">
        <f>-'Income Statement (Results)'!D24</f>
        <v>-315982.7455553973</v>
      </c>
      <c r="F53" s="268">
        <f>-'Income Statement (Results)'!E24</f>
        <v>-1116994.5556743366</v>
      </c>
      <c r="G53" s="268">
        <f>-'Income Statement (Results)'!F24</f>
        <v>-2748265.550936183</v>
      </c>
      <c r="H53" s="268">
        <f>-'Income Statement (Results)'!G24</f>
        <v>-4719793.7292372063</v>
      </c>
      <c r="I53" s="268">
        <f>-'Income Statement (Results)'!H24</f>
        <v>-6329502.0874853507</v>
      </c>
      <c r="J53" s="268">
        <f>-SUM('Income Statement (Results)'!I24:BC24)</f>
        <v>-108623645.29909676</v>
      </c>
      <c r="K53" s="268"/>
      <c r="N53" s="93"/>
    </row>
    <row r="54" spans="2:14" ht="15" thickBot="1">
      <c r="B54" s="107" t="s">
        <v>72</v>
      </c>
      <c r="C54" s="320"/>
      <c r="D54" s="321">
        <f>SUM(D51:D53)</f>
        <v>0</v>
      </c>
      <c r="E54" s="321">
        <f t="shared" ref="E54:J54" si="16">SUM(E51:E53)</f>
        <v>744249.81327232393</v>
      </c>
      <c r="F54" s="321">
        <f t="shared" si="16"/>
        <v>3697503.0312221441</v>
      </c>
      <c r="G54" s="321">
        <f t="shared" si="16"/>
        <v>9282471.4587579351</v>
      </c>
      <c r="H54" s="321">
        <f>SUM(H51:H53)</f>
        <v>18059312.054641351</v>
      </c>
      <c r="I54" s="321">
        <f>SUM(I51:I53)</f>
        <v>25275704.912941299</v>
      </c>
      <c r="J54" s="321">
        <f t="shared" si="16"/>
        <v>728421991.70567536</v>
      </c>
      <c r="K54" s="108"/>
      <c r="N54" s="93"/>
    </row>
    <row r="55" spans="2:14" ht="15" thickTop="1">
      <c r="B55" s="106"/>
      <c r="C55" s="301"/>
      <c r="D55" s="268"/>
      <c r="E55" s="268"/>
      <c r="F55" s="268"/>
      <c r="G55" s="268"/>
      <c r="H55" s="268"/>
      <c r="I55" s="268"/>
      <c r="J55" s="268"/>
      <c r="K55" s="99"/>
      <c r="N55" s="93"/>
    </row>
    <row r="56" spans="2:14" s="82" customFormat="1">
      <c r="B56" s="94" t="s">
        <v>51</v>
      </c>
      <c r="C56" s="323"/>
      <c r="D56" s="324">
        <f>'Income Statement (Results)'!C30</f>
        <v>0</v>
      </c>
      <c r="E56" s="324">
        <f>'Income Statement (Results)'!D30</f>
        <v>10292597.575094374</v>
      </c>
      <c r="F56" s="324">
        <f>'Income Statement (Results)'!E30</f>
        <v>36384187.481248751</v>
      </c>
      <c r="G56" s="324">
        <f>'Income Statement (Results)'!F30</f>
        <v>89520050.519093901</v>
      </c>
      <c r="H56" s="324">
        <f>'Income Statement (Results)'!G30</f>
        <v>153739209.42140737</v>
      </c>
      <c r="I56" s="324">
        <f>'Income Statement (Results)'!H30</f>
        <v>206172706.43274757</v>
      </c>
      <c r="J56" s="324"/>
      <c r="K56" s="324"/>
      <c r="L56" s="1"/>
      <c r="M56" s="1"/>
      <c r="N56" s="95"/>
    </row>
    <row r="57" spans="2:14">
      <c r="B57" s="106"/>
      <c r="C57" s="301"/>
      <c r="D57" s="268"/>
      <c r="E57" s="268"/>
      <c r="F57" s="268"/>
      <c r="G57" s="268"/>
      <c r="H57" s="268"/>
      <c r="I57" s="268"/>
      <c r="J57" s="268"/>
      <c r="K57" s="99"/>
      <c r="N57" s="93"/>
    </row>
    <row r="58" spans="2:14">
      <c r="B58" s="106"/>
      <c r="C58" s="301"/>
      <c r="D58" s="303"/>
      <c r="E58" s="303"/>
      <c r="F58" s="303"/>
      <c r="G58" s="303"/>
      <c r="H58" s="303"/>
      <c r="I58" s="303"/>
      <c r="J58" s="303"/>
      <c r="K58" s="98"/>
    </row>
    <row r="59" spans="2:14">
      <c r="B59" s="286" t="s">
        <v>191</v>
      </c>
      <c r="C59" s="297" t="str">
        <f>C$8</f>
        <v>TOTAL</v>
      </c>
      <c r="D59" s="331">
        <f>D$8</f>
        <v>2017</v>
      </c>
      <c r="E59" s="331">
        <f t="shared" ref="E59:K59" si="17">E$8</f>
        <v>2018</v>
      </c>
      <c r="F59" s="331">
        <f t="shared" si="17"/>
        <v>2019</v>
      </c>
      <c r="G59" s="331">
        <f t="shared" si="17"/>
        <v>2020</v>
      </c>
      <c r="H59" s="331">
        <f t="shared" si="17"/>
        <v>2021</v>
      </c>
      <c r="I59" s="331">
        <f t="shared" si="17"/>
        <v>2022</v>
      </c>
      <c r="J59" s="298" t="str">
        <f t="shared" si="17"/>
        <v>2023+</v>
      </c>
      <c r="K59" s="287" t="str">
        <f t="shared" si="17"/>
        <v>In 5-yr Plan?</v>
      </c>
    </row>
    <row r="60" spans="2:14" ht="19.149999999999999" customHeight="1">
      <c r="B60" s="85" t="s">
        <v>69</v>
      </c>
      <c r="C60" s="311"/>
      <c r="D60" s="269">
        <f t="shared" ref="D60:I60" si="18">D50</f>
        <v>0</v>
      </c>
      <c r="E60" s="269">
        <f t="shared" si="18"/>
        <v>799745.12418240774</v>
      </c>
      <c r="F60" s="269">
        <f t="shared" si="18"/>
        <v>2827087.7514805086</v>
      </c>
      <c r="G60" s="269">
        <f t="shared" si="18"/>
        <v>6955797.445384115</v>
      </c>
      <c r="H60" s="269">
        <f t="shared" si="18"/>
        <v>11945690.311252777</v>
      </c>
      <c r="I60" s="269">
        <f t="shared" si="18"/>
        <v>16019825.46253092</v>
      </c>
      <c r="J60" s="269">
        <f>J50</f>
        <v>274923969.49137187</v>
      </c>
      <c r="K60" s="87"/>
    </row>
    <row r="61" spans="2:14">
      <c r="B61" s="85" t="s">
        <v>135</v>
      </c>
      <c r="C61" s="311"/>
      <c r="D61" s="269">
        <f t="shared" ref="D61:J61" si="19">D45</f>
        <v>0</v>
      </c>
      <c r="E61" s="269">
        <f t="shared" si="19"/>
        <v>0</v>
      </c>
      <c r="F61" s="269">
        <f t="shared" si="19"/>
        <v>1066590.4222895724</v>
      </c>
      <c r="G61" s="269">
        <f t="shared" si="19"/>
        <v>2809345.4672995768</v>
      </c>
      <c r="H61" s="269">
        <f t="shared" si="19"/>
        <v>6942548.082309708</v>
      </c>
      <c r="I61" s="269">
        <f t="shared" si="19"/>
        <v>10367515.105178883</v>
      </c>
      <c r="J61" s="269">
        <f t="shared" si="19"/>
        <v>472575339.10217524</v>
      </c>
      <c r="K61" s="87"/>
    </row>
    <row r="62" spans="2:14">
      <c r="B62" s="85" t="s">
        <v>136</v>
      </c>
      <c r="C62" s="311"/>
      <c r="D62" s="269">
        <f>'Income Statement (Results)'!C17</f>
        <v>0</v>
      </c>
      <c r="E62" s="269">
        <f>'Income Statement (Results)'!D17</f>
        <v>746613.29560270067</v>
      </c>
      <c r="F62" s="269">
        <f>'Income Statement (Results)'!E17</f>
        <v>2190525.8157905135</v>
      </c>
      <c r="G62" s="269">
        <f>'Income Statement (Results)'!F17</f>
        <v>5180965.4193327334</v>
      </c>
      <c r="H62" s="269">
        <f>'Income Statement (Results)'!G17</f>
        <v>7792215.984017184</v>
      </c>
      <c r="I62" s="269">
        <f>'Income Statement (Results)'!H17</f>
        <v>9427959.0935174804</v>
      </c>
      <c r="J62" s="269">
        <f>SUM('Income Statement (Results)'!I17:BC17)</f>
        <v>-25338279.608260643</v>
      </c>
      <c r="K62" s="269"/>
    </row>
    <row r="63" spans="2:14">
      <c r="B63" s="289" t="s">
        <v>132</v>
      </c>
      <c r="C63" s="354"/>
      <c r="D63" s="355">
        <f t="shared" ref="D63:J63" si="20">SUM(D60:D62)</f>
        <v>0</v>
      </c>
      <c r="E63" s="355">
        <f t="shared" si="20"/>
        <v>1546358.4197851084</v>
      </c>
      <c r="F63" s="355">
        <f t="shared" si="20"/>
        <v>6084203.9895605948</v>
      </c>
      <c r="G63" s="355">
        <f t="shared" si="20"/>
        <v>14946108.332016425</v>
      </c>
      <c r="H63" s="355">
        <f t="shared" si="20"/>
        <v>26680454.377579667</v>
      </c>
      <c r="I63" s="355">
        <f t="shared" si="20"/>
        <v>35815299.661227286</v>
      </c>
      <c r="J63" s="355">
        <f t="shared" si="20"/>
        <v>722161028.98528647</v>
      </c>
      <c r="K63" s="356"/>
    </row>
    <row r="64" spans="2:14" ht="23.5" customHeight="1">
      <c r="B64" s="85" t="s">
        <v>33</v>
      </c>
      <c r="C64" s="311"/>
      <c r="D64" s="269">
        <f>'Capital Results '!D55</f>
        <v>19793828.009456668</v>
      </c>
      <c r="E64" s="269">
        <f>'Capital Results '!E55</f>
        <v>32342118.307692379</v>
      </c>
      <c r="F64" s="269">
        <f>'Capital Results '!F55</f>
        <v>76704140.577343047</v>
      </c>
      <c r="G64" s="269">
        <f>'Capital Results '!G55</f>
        <v>63560675.937072933</v>
      </c>
      <c r="H64" s="269">
        <f>'Capital Results '!H55</f>
        <v>65786296.585617647</v>
      </c>
      <c r="I64" s="269">
        <f>'Capital Results '!I55</f>
        <v>67759885.48318617</v>
      </c>
      <c r="J64" s="269">
        <f>SUM('Capital Results '!J55:BC55)</f>
        <v>132215195.0080035</v>
      </c>
      <c r="K64" s="269"/>
    </row>
    <row r="65" spans="2:11" ht="15" thickBot="1">
      <c r="B65" s="357" t="s">
        <v>101</v>
      </c>
      <c r="C65" s="358"/>
      <c r="D65" s="359">
        <f t="shared" ref="D65:H65" si="21">SUM(D63:D64)</f>
        <v>19793828.009456668</v>
      </c>
      <c r="E65" s="359">
        <f t="shared" si="21"/>
        <v>33888476.727477491</v>
      </c>
      <c r="F65" s="359">
        <f t="shared" si="21"/>
        <v>82788344.566903636</v>
      </c>
      <c r="G65" s="359">
        <f t="shared" si="21"/>
        <v>78506784.269089356</v>
      </c>
      <c r="H65" s="359">
        <f t="shared" si="21"/>
        <v>92466750.963197321</v>
      </c>
      <c r="I65" s="359">
        <f t="shared" ref="I65" si="22">SUM(I63:I64)</f>
        <v>103575185.14441346</v>
      </c>
      <c r="J65" s="359">
        <f>SUM(J63:J64)</f>
        <v>854376223.99328995</v>
      </c>
      <c r="K65" s="360"/>
    </row>
    <row r="66" spans="2:11" ht="15" thickTop="1">
      <c r="C66" s="361"/>
      <c r="D66" s="322"/>
      <c r="E66" s="322"/>
      <c r="F66" s="322"/>
      <c r="G66" s="322"/>
      <c r="H66" s="322"/>
      <c r="I66" s="322"/>
      <c r="J66" s="322"/>
      <c r="K66" s="92"/>
    </row>
    <row r="67" spans="2:11">
      <c r="C67" s="322"/>
      <c r="D67" s="322"/>
      <c r="E67" s="322"/>
      <c r="F67" s="322"/>
      <c r="G67" s="322"/>
      <c r="H67" s="322"/>
      <c r="I67" s="322"/>
      <c r="J67" s="322"/>
      <c r="K67" s="92"/>
    </row>
    <row r="68" spans="2:11">
      <c r="C68" s="92"/>
      <c r="D68" s="92"/>
      <c r="E68" s="92"/>
      <c r="F68" s="92"/>
      <c r="G68" s="92"/>
      <c r="H68" s="92"/>
      <c r="I68" s="92"/>
      <c r="J68" s="92"/>
      <c r="K68" s="92"/>
    </row>
    <row r="69" spans="2:11">
      <c r="C69" s="92"/>
      <c r="D69" s="92"/>
      <c r="E69" s="92"/>
      <c r="F69" s="92"/>
      <c r="G69" s="92"/>
      <c r="H69" s="92"/>
      <c r="I69" s="92"/>
      <c r="J69" s="92"/>
      <c r="K69" s="92"/>
    </row>
    <row r="70" spans="2:11">
      <c r="C70" s="92"/>
      <c r="D70" s="92"/>
      <c r="E70" s="92"/>
      <c r="F70" s="92"/>
      <c r="G70" s="92"/>
      <c r="H70" s="92"/>
      <c r="I70" s="92"/>
      <c r="J70" s="92"/>
      <c r="K70" s="92"/>
    </row>
    <row r="71" spans="2:11">
      <c r="C71" s="92"/>
      <c r="D71" s="92"/>
      <c r="E71" s="92"/>
      <c r="F71" s="92"/>
      <c r="G71" s="92"/>
      <c r="H71" s="92"/>
      <c r="I71" s="92"/>
      <c r="J71" s="92"/>
      <c r="K71" s="92"/>
    </row>
    <row r="72" spans="2:11">
      <c r="C72" s="92"/>
      <c r="D72" s="92"/>
      <c r="E72" s="92"/>
      <c r="F72" s="92"/>
      <c r="G72" s="92"/>
      <c r="H72" s="92"/>
      <c r="I72" s="92"/>
      <c r="J72" s="92"/>
      <c r="K72" s="92"/>
    </row>
    <row r="73" spans="2:11">
      <c r="C73" s="92"/>
      <c r="D73" s="92"/>
      <c r="E73" s="92"/>
      <c r="F73" s="92"/>
      <c r="G73" s="92"/>
      <c r="H73" s="92"/>
      <c r="I73" s="92"/>
      <c r="J73" s="92"/>
      <c r="K73" s="92"/>
    </row>
  </sheetData>
  <pageMargins left="0.7" right="0.7" top="0.75" bottom="0.75" header="0.3" footer="0.3"/>
  <pageSetup scale="62" orientation="portrait" r:id="rId1"/>
  <headerFooter>
    <oddFooter>&amp;L&amp;F &amp;A
Author: Laura Feinstein&amp;C&amp;P&amp;R11/14/16</oddFooter>
  </headerFooter>
  <ignoredErrors>
    <ignoredError sqref="C26"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C00000"/>
  </sheetPr>
  <dimension ref="A1:BE76"/>
  <sheetViews>
    <sheetView showGridLines="0" zoomScale="90" zoomScaleNormal="90" workbookViewId="0">
      <selection activeCell="I41" sqref="I41"/>
    </sheetView>
  </sheetViews>
  <sheetFormatPr defaultColWidth="8.81640625" defaultRowHeight="13"/>
  <cols>
    <col min="1" max="1" width="2" style="85" customWidth="1"/>
    <col min="2" max="2" width="38.453125" style="132" customWidth="1"/>
    <col min="3" max="3" width="12.7265625" style="18" bestFit="1" customWidth="1"/>
    <col min="4" max="9" width="17.81640625" style="18" bestFit="1" customWidth="1"/>
    <col min="10" max="43" width="11.453125" style="18" bestFit="1" customWidth="1"/>
    <col min="44" max="57" width="9" style="18" bestFit="1" customWidth="1"/>
    <col min="58" max="16384" width="8.81640625" style="18"/>
  </cols>
  <sheetData>
    <row r="1" spans="1:57" ht="15.5">
      <c r="D1" s="332" t="s">
        <v>163</v>
      </c>
      <c r="BE1" s="133" t="s">
        <v>146</v>
      </c>
    </row>
    <row r="2" spans="1:57">
      <c r="B2" s="20" t="str">
        <f>Project_Description</f>
        <v xml:space="preserve">AMI Model </v>
      </c>
      <c r="BE2" s="133" t="s">
        <v>146</v>
      </c>
    </row>
    <row r="3" spans="1:57">
      <c r="B3" s="20" t="s">
        <v>148</v>
      </c>
      <c r="C3" s="160"/>
      <c r="BE3" s="133" t="s">
        <v>146</v>
      </c>
    </row>
    <row r="4" spans="1:57" s="138" customFormat="1">
      <c r="A4" s="85"/>
      <c r="B4" s="161"/>
      <c r="C4" s="162" t="s">
        <v>92</v>
      </c>
      <c r="D4" s="163">
        <f>Start_Year</f>
        <v>2016</v>
      </c>
      <c r="E4" s="163">
        <f>D4+1</f>
        <v>2017</v>
      </c>
      <c r="F4" s="163">
        <f t="shared" ref="F4:AQ4" si="0">E4+1</f>
        <v>2018</v>
      </c>
      <c r="G4" s="163">
        <f t="shared" si="0"/>
        <v>2019</v>
      </c>
      <c r="H4" s="163">
        <f t="shared" si="0"/>
        <v>2020</v>
      </c>
      <c r="I4" s="163">
        <f t="shared" si="0"/>
        <v>2021</v>
      </c>
      <c r="J4" s="163">
        <f t="shared" si="0"/>
        <v>2022</v>
      </c>
      <c r="K4" s="163">
        <f t="shared" si="0"/>
        <v>2023</v>
      </c>
      <c r="L4" s="163">
        <f t="shared" si="0"/>
        <v>2024</v>
      </c>
      <c r="M4" s="163">
        <f t="shared" si="0"/>
        <v>2025</v>
      </c>
      <c r="N4" s="163">
        <f t="shared" si="0"/>
        <v>2026</v>
      </c>
      <c r="O4" s="163">
        <f t="shared" si="0"/>
        <v>2027</v>
      </c>
      <c r="P4" s="163">
        <f t="shared" si="0"/>
        <v>2028</v>
      </c>
      <c r="Q4" s="163">
        <f t="shared" si="0"/>
        <v>2029</v>
      </c>
      <c r="R4" s="163">
        <f t="shared" si="0"/>
        <v>2030</v>
      </c>
      <c r="S4" s="163">
        <f t="shared" si="0"/>
        <v>2031</v>
      </c>
      <c r="T4" s="163">
        <f t="shared" si="0"/>
        <v>2032</v>
      </c>
      <c r="U4" s="163">
        <f t="shared" si="0"/>
        <v>2033</v>
      </c>
      <c r="V4" s="163">
        <f t="shared" si="0"/>
        <v>2034</v>
      </c>
      <c r="W4" s="163">
        <f t="shared" si="0"/>
        <v>2035</v>
      </c>
      <c r="X4" s="163">
        <f t="shared" si="0"/>
        <v>2036</v>
      </c>
      <c r="Y4" s="163">
        <f t="shared" si="0"/>
        <v>2037</v>
      </c>
      <c r="Z4" s="163">
        <f t="shared" si="0"/>
        <v>2038</v>
      </c>
      <c r="AA4" s="163">
        <f t="shared" si="0"/>
        <v>2039</v>
      </c>
      <c r="AB4" s="163">
        <f t="shared" si="0"/>
        <v>2040</v>
      </c>
      <c r="AC4" s="163">
        <f t="shared" si="0"/>
        <v>2041</v>
      </c>
      <c r="AD4" s="163">
        <f t="shared" si="0"/>
        <v>2042</v>
      </c>
      <c r="AE4" s="163">
        <f t="shared" si="0"/>
        <v>2043</v>
      </c>
      <c r="AF4" s="163">
        <f t="shared" si="0"/>
        <v>2044</v>
      </c>
      <c r="AG4" s="163">
        <f t="shared" si="0"/>
        <v>2045</v>
      </c>
      <c r="AH4" s="163">
        <f t="shared" si="0"/>
        <v>2046</v>
      </c>
      <c r="AI4" s="163">
        <f t="shared" si="0"/>
        <v>2047</v>
      </c>
      <c r="AJ4" s="163">
        <f t="shared" si="0"/>
        <v>2048</v>
      </c>
      <c r="AK4" s="163">
        <f t="shared" si="0"/>
        <v>2049</v>
      </c>
      <c r="AL4" s="163">
        <f t="shared" si="0"/>
        <v>2050</v>
      </c>
      <c r="AM4" s="163">
        <f t="shared" si="0"/>
        <v>2051</v>
      </c>
      <c r="AN4" s="163">
        <f t="shared" si="0"/>
        <v>2052</v>
      </c>
      <c r="AO4" s="163">
        <f t="shared" si="0"/>
        <v>2053</v>
      </c>
      <c r="AP4" s="163">
        <f t="shared" si="0"/>
        <v>2054</v>
      </c>
      <c r="AQ4" s="163">
        <f t="shared" si="0"/>
        <v>2055</v>
      </c>
      <c r="AR4" s="163">
        <f t="shared" ref="AR4" si="1">AQ4+1</f>
        <v>2056</v>
      </c>
      <c r="AS4" s="163">
        <f t="shared" ref="AS4" si="2">AR4+1</f>
        <v>2057</v>
      </c>
      <c r="AT4" s="163">
        <f t="shared" ref="AT4" si="3">AS4+1</f>
        <v>2058</v>
      </c>
      <c r="AU4" s="163">
        <f t="shared" ref="AU4" si="4">AT4+1</f>
        <v>2059</v>
      </c>
      <c r="AV4" s="163">
        <f t="shared" ref="AV4" si="5">AU4+1</f>
        <v>2060</v>
      </c>
      <c r="AW4" s="163">
        <f t="shared" ref="AW4" si="6">AV4+1</f>
        <v>2061</v>
      </c>
      <c r="AX4" s="163">
        <f t="shared" ref="AX4" si="7">AW4+1</f>
        <v>2062</v>
      </c>
      <c r="AY4" s="163">
        <f t="shared" ref="AY4" si="8">AX4+1</f>
        <v>2063</v>
      </c>
      <c r="AZ4" s="163">
        <f t="shared" ref="AZ4" si="9">AY4+1</f>
        <v>2064</v>
      </c>
      <c r="BA4" s="163">
        <f t="shared" ref="BA4" si="10">AZ4+1</f>
        <v>2065</v>
      </c>
      <c r="BB4" s="163">
        <f t="shared" ref="BB4" si="11">BA4+1</f>
        <v>2066</v>
      </c>
      <c r="BC4" s="163">
        <f t="shared" ref="BC4" si="12">BB4+1</f>
        <v>2067</v>
      </c>
      <c r="BD4" s="163">
        <f t="shared" ref="BD4" si="13">BC4+1</f>
        <v>2068</v>
      </c>
      <c r="BE4" s="133" t="s">
        <v>146</v>
      </c>
    </row>
    <row r="5" spans="1:57">
      <c r="C5" s="164"/>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33" t="s">
        <v>146</v>
      </c>
    </row>
    <row r="6" spans="1:57">
      <c r="B6" s="132" t="s">
        <v>54</v>
      </c>
      <c r="C6" s="167">
        <f>(NPV(WACC,'Results Calculation'!G6:BD6)+'Results Calculation'!F6)/(1+WACC)^0.5</f>
        <v>142270868.90623501</v>
      </c>
      <c r="D6" s="168">
        <f>'Income Statement (Results)'!C6</f>
        <v>-494884.6152455663</v>
      </c>
      <c r="E6" s="168">
        <f>'Income Statement (Results)'!D6</f>
        <v>-5775517.0228235573</v>
      </c>
      <c r="F6" s="168">
        <f>'Income Statement (Results)'!E6</f>
        <v>-2990464.9761160687</v>
      </c>
      <c r="G6" s="168">
        <f>'Income Statement (Results)'!F6</f>
        <v>-2256855.4001743235</v>
      </c>
      <c r="H6" s="168">
        <f>'Income Statement (Results)'!G6</f>
        <v>11256010.364410086</v>
      </c>
      <c r="I6" s="168">
        <f>'Income Statement (Results)'!H6</f>
        <v>19726436.282865431</v>
      </c>
      <c r="J6" s="168">
        <f>'Income Statement (Results)'!I6</f>
        <v>26613429.057260457</v>
      </c>
      <c r="K6" s="168">
        <f>'Income Statement (Results)'!J6</f>
        <v>33162926.995948747</v>
      </c>
      <c r="L6" s="168">
        <f>'Income Statement (Results)'!K6</f>
        <v>38583713.922234878</v>
      </c>
      <c r="M6" s="168">
        <f>'Income Statement (Results)'!L6</f>
        <v>39272307.661486953</v>
      </c>
      <c r="N6" s="168">
        <f>'Income Statement (Results)'!M6</f>
        <v>31832015.043654937</v>
      </c>
      <c r="O6" s="168">
        <f>'Income Statement (Results)'!N6</f>
        <v>25436008.326912772</v>
      </c>
      <c r="P6" s="168">
        <f>'Income Statement (Results)'!O6</f>
        <v>18943055.770521153</v>
      </c>
      <c r="Q6" s="168">
        <f>'Income Statement (Results)'!P6</f>
        <v>12143128.605807418</v>
      </c>
      <c r="R6" s="168">
        <f>'Income Statement (Results)'!Q6</f>
        <v>5249123.0139070218</v>
      </c>
      <c r="S6" s="168">
        <f>'Income Statement (Results)'!R6</f>
        <v>-965890.28851602774</v>
      </c>
      <c r="T6" s="168">
        <f>'Income Statement (Results)'!S6</f>
        <v>-8135105.0780737987</v>
      </c>
      <c r="U6" s="168">
        <f>'Income Statement (Results)'!T6</f>
        <v>-14785725.75570545</v>
      </c>
      <c r="V6" s="168">
        <f>'Income Statement (Results)'!U6</f>
        <v>-19719022.553153954</v>
      </c>
      <c r="W6" s="168">
        <f>'Income Statement (Results)'!V6</f>
        <v>-23149152.020228747</v>
      </c>
      <c r="X6" s="168">
        <f>'Income Statement (Results)'!W6</f>
        <v>-25315010.885427047</v>
      </c>
      <c r="Y6" s="168">
        <f>'Income Statement (Results)'!X6</f>
        <v>-27492264.484544296</v>
      </c>
      <c r="Z6" s="168">
        <f>'Income Statement (Results)'!Y6</f>
        <v>30862028.297262274</v>
      </c>
      <c r="AA6" s="168">
        <f>'Income Statement (Results)'!Z6</f>
        <v>27441056.732487187</v>
      </c>
      <c r="AB6" s="168">
        <f>'Income Statement (Results)'!AA6</f>
        <v>21722850.898058183</v>
      </c>
      <c r="AC6" s="168">
        <f>'Income Statement (Results)'!AB6</f>
        <v>17011419.2522319</v>
      </c>
      <c r="AD6" s="168">
        <f>'Income Statement (Results)'!AC6</f>
        <v>12418765.841093043</v>
      </c>
      <c r="AE6" s="168">
        <f>'Income Statement (Results)'!AD6</f>
        <v>7967048.1274385937</v>
      </c>
      <c r="AF6" s="168">
        <f>'Income Statement (Results)'!AE6</f>
        <v>3660494.1821930772</v>
      </c>
      <c r="AG6" s="168">
        <f>'Income Statement (Results)'!AF6</f>
        <v>135433.03214712325</v>
      </c>
      <c r="AH6" s="168">
        <f>'Income Statement (Results)'!AG6</f>
        <v>95306.113005192587</v>
      </c>
      <c r="AI6" s="168">
        <f>'Income Statement (Results)'!AH6</f>
        <v>62103.589091734815</v>
      </c>
      <c r="AJ6" s="168">
        <f>'Income Statement (Results)'!AI6</f>
        <v>30507.827095361645</v>
      </c>
      <c r="AK6" s="168">
        <f>'Income Statement (Results)'!AJ6</f>
        <v>4.4415650417080922E-9</v>
      </c>
      <c r="AL6" s="168">
        <f>'Income Statement (Results)'!AK6</f>
        <v>4.4415650417080922E-9</v>
      </c>
      <c r="AM6" s="168">
        <f>'Income Statement (Results)'!AL6</f>
        <v>4.4415650417080922E-9</v>
      </c>
      <c r="AN6" s="168">
        <f>'Income Statement (Results)'!AM6</f>
        <v>4.4415650417080922E-9</v>
      </c>
      <c r="AO6" s="168">
        <f>'Income Statement (Results)'!AN6</f>
        <v>4.4415650417080922E-9</v>
      </c>
      <c r="AP6" s="168">
        <f>'Income Statement (Results)'!AO6</f>
        <v>4.4415650417080922E-9</v>
      </c>
      <c r="AQ6" s="168">
        <f>'Income Statement (Results)'!AP6</f>
        <v>4.4415650417080922E-9</v>
      </c>
      <c r="AR6" s="168">
        <f>'Income Statement (Results)'!AQ6</f>
        <v>4.4415650417080922E-9</v>
      </c>
      <c r="AS6" s="168">
        <f>'Income Statement (Results)'!AR6</f>
        <v>4.4415650417080922E-9</v>
      </c>
      <c r="AT6" s="168">
        <f>'Income Statement (Results)'!AS6</f>
        <v>4.4415650417080922E-9</v>
      </c>
      <c r="AU6" s="168">
        <f>'Income Statement (Results)'!AT6</f>
        <v>4.4415650417080922E-9</v>
      </c>
      <c r="AV6" s="168">
        <f>'Income Statement (Results)'!AU6</f>
        <v>4.4415650417080922E-9</v>
      </c>
      <c r="AW6" s="168">
        <f>'Income Statement (Results)'!AV6</f>
        <v>4.4415650417080922E-9</v>
      </c>
      <c r="AX6" s="168">
        <f>'Income Statement (Results)'!AW6</f>
        <v>4.4415650417080922E-9</v>
      </c>
      <c r="AY6" s="168">
        <f>'Income Statement (Results)'!AX6</f>
        <v>4.4415650417080922E-9</v>
      </c>
      <c r="AZ6" s="168">
        <f>'Income Statement (Results)'!AY6</f>
        <v>4.4415650417080922E-9</v>
      </c>
      <c r="BA6" s="168">
        <f>'Income Statement (Results)'!AZ6</f>
        <v>4.4415650417080922E-9</v>
      </c>
      <c r="BB6" s="168">
        <f>'Income Statement (Results)'!BA6</f>
        <v>4.4415650417080922E-9</v>
      </c>
      <c r="BC6" s="168">
        <f>'Income Statement (Results)'!BB6</f>
        <v>4.4415650417080922E-9</v>
      </c>
      <c r="BD6" s="168">
        <f>'Income Statement (Results)'!BC6</f>
        <v>4.4415650417080922E-9</v>
      </c>
      <c r="BE6" s="133" t="s">
        <v>146</v>
      </c>
    </row>
    <row r="7" spans="1:57">
      <c r="B7" s="132" t="s">
        <v>118</v>
      </c>
      <c r="C7" s="167">
        <f>(NPV(WACC,'Results Calculation'!E7:AQ7)+'Results Calculation'!D7)/(1+WACC)^0.5</f>
        <v>0</v>
      </c>
      <c r="D7" s="168">
        <v>0</v>
      </c>
      <c r="E7" s="168">
        <v>0</v>
      </c>
      <c r="F7" s="168">
        <v>0</v>
      </c>
      <c r="G7" s="168">
        <v>0</v>
      </c>
      <c r="H7" s="168">
        <v>0</v>
      </c>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33" t="s">
        <v>146</v>
      </c>
    </row>
    <row r="8" spans="1:57">
      <c r="B8" s="132" t="s">
        <v>119</v>
      </c>
      <c r="C8" s="169">
        <f>SUM(C6:C7)</f>
        <v>142270868.90623501</v>
      </c>
      <c r="D8" s="170">
        <f>SUM(D6:D7)</f>
        <v>-494884.6152455663</v>
      </c>
      <c r="E8" s="171">
        <f t="shared" ref="E8:BD8" si="14">SUM(E6:E7)</f>
        <v>-5775517.0228235573</v>
      </c>
      <c r="F8" s="171">
        <f t="shared" si="14"/>
        <v>-2990464.9761160687</v>
      </c>
      <c r="G8" s="171">
        <f t="shared" si="14"/>
        <v>-2256855.4001743235</v>
      </c>
      <c r="H8" s="171">
        <f t="shared" si="14"/>
        <v>11256010.364410086</v>
      </c>
      <c r="I8" s="171">
        <f t="shared" si="14"/>
        <v>19726436.282865431</v>
      </c>
      <c r="J8" s="171">
        <f t="shared" si="14"/>
        <v>26613429.057260457</v>
      </c>
      <c r="K8" s="171">
        <f t="shared" si="14"/>
        <v>33162926.995948747</v>
      </c>
      <c r="L8" s="171">
        <f t="shared" si="14"/>
        <v>38583713.922234878</v>
      </c>
      <c r="M8" s="171">
        <f t="shared" si="14"/>
        <v>39272307.661486953</v>
      </c>
      <c r="N8" s="171">
        <f t="shared" si="14"/>
        <v>31832015.043654937</v>
      </c>
      <c r="O8" s="171">
        <f t="shared" si="14"/>
        <v>25436008.326912772</v>
      </c>
      <c r="P8" s="171">
        <f t="shared" si="14"/>
        <v>18943055.770521153</v>
      </c>
      <c r="Q8" s="171">
        <f t="shared" si="14"/>
        <v>12143128.605807418</v>
      </c>
      <c r="R8" s="171">
        <f t="shared" si="14"/>
        <v>5249123.0139070218</v>
      </c>
      <c r="S8" s="171">
        <f t="shared" si="14"/>
        <v>-965890.28851602774</v>
      </c>
      <c r="T8" s="171">
        <f t="shared" si="14"/>
        <v>-8135105.0780737987</v>
      </c>
      <c r="U8" s="171">
        <f t="shared" si="14"/>
        <v>-14785725.75570545</v>
      </c>
      <c r="V8" s="171">
        <f t="shared" si="14"/>
        <v>-19719022.553153954</v>
      </c>
      <c r="W8" s="171">
        <f t="shared" si="14"/>
        <v>-23149152.020228747</v>
      </c>
      <c r="X8" s="171">
        <f t="shared" si="14"/>
        <v>-25315010.885427047</v>
      </c>
      <c r="Y8" s="171">
        <f t="shared" si="14"/>
        <v>-27492264.484544296</v>
      </c>
      <c r="Z8" s="171">
        <f t="shared" si="14"/>
        <v>30862028.297262274</v>
      </c>
      <c r="AA8" s="171">
        <f t="shared" si="14"/>
        <v>27441056.732487187</v>
      </c>
      <c r="AB8" s="171">
        <f t="shared" si="14"/>
        <v>21722850.898058183</v>
      </c>
      <c r="AC8" s="171">
        <f t="shared" si="14"/>
        <v>17011419.2522319</v>
      </c>
      <c r="AD8" s="171">
        <f t="shared" si="14"/>
        <v>12418765.841093043</v>
      </c>
      <c r="AE8" s="171">
        <f t="shared" si="14"/>
        <v>7967048.1274385937</v>
      </c>
      <c r="AF8" s="171">
        <f t="shared" si="14"/>
        <v>3660494.1821930772</v>
      </c>
      <c r="AG8" s="171">
        <f t="shared" si="14"/>
        <v>135433.03214712325</v>
      </c>
      <c r="AH8" s="171">
        <f t="shared" si="14"/>
        <v>95306.113005192587</v>
      </c>
      <c r="AI8" s="171">
        <f t="shared" si="14"/>
        <v>62103.589091734815</v>
      </c>
      <c r="AJ8" s="171">
        <f t="shared" si="14"/>
        <v>30507.827095361645</v>
      </c>
      <c r="AK8" s="171">
        <f t="shared" si="14"/>
        <v>4.4415650417080922E-9</v>
      </c>
      <c r="AL8" s="171">
        <f t="shared" si="14"/>
        <v>4.4415650417080922E-9</v>
      </c>
      <c r="AM8" s="171">
        <f t="shared" si="14"/>
        <v>4.4415650417080922E-9</v>
      </c>
      <c r="AN8" s="171">
        <f t="shared" si="14"/>
        <v>4.4415650417080922E-9</v>
      </c>
      <c r="AO8" s="171">
        <f t="shared" si="14"/>
        <v>4.4415650417080922E-9</v>
      </c>
      <c r="AP8" s="171">
        <f t="shared" si="14"/>
        <v>4.4415650417080922E-9</v>
      </c>
      <c r="AQ8" s="171">
        <f t="shared" si="14"/>
        <v>4.4415650417080922E-9</v>
      </c>
      <c r="AR8" s="171">
        <f t="shared" si="14"/>
        <v>4.4415650417080922E-9</v>
      </c>
      <c r="AS8" s="171">
        <f t="shared" si="14"/>
        <v>4.4415650417080922E-9</v>
      </c>
      <c r="AT8" s="171">
        <f t="shared" si="14"/>
        <v>4.4415650417080922E-9</v>
      </c>
      <c r="AU8" s="171">
        <f t="shared" si="14"/>
        <v>4.4415650417080922E-9</v>
      </c>
      <c r="AV8" s="171">
        <f t="shared" si="14"/>
        <v>4.4415650417080922E-9</v>
      </c>
      <c r="AW8" s="171">
        <f t="shared" si="14"/>
        <v>4.4415650417080922E-9</v>
      </c>
      <c r="AX8" s="171">
        <f t="shared" si="14"/>
        <v>4.4415650417080922E-9</v>
      </c>
      <c r="AY8" s="171">
        <f t="shared" si="14"/>
        <v>4.4415650417080922E-9</v>
      </c>
      <c r="AZ8" s="171">
        <f t="shared" si="14"/>
        <v>4.4415650417080922E-9</v>
      </c>
      <c r="BA8" s="171">
        <f t="shared" si="14"/>
        <v>4.4415650417080922E-9</v>
      </c>
      <c r="BB8" s="171">
        <f t="shared" si="14"/>
        <v>4.4415650417080922E-9</v>
      </c>
      <c r="BC8" s="171">
        <f t="shared" si="14"/>
        <v>4.4415650417080922E-9</v>
      </c>
      <c r="BD8" s="171">
        <f t="shared" si="14"/>
        <v>4.4415650417080922E-9</v>
      </c>
      <c r="BE8" s="133" t="s">
        <v>146</v>
      </c>
    </row>
    <row r="9" spans="1:57">
      <c r="C9" s="172"/>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33" t="s">
        <v>146</v>
      </c>
    </row>
    <row r="10" spans="1:57">
      <c r="A10" s="82"/>
      <c r="B10" s="174" t="s">
        <v>90</v>
      </c>
      <c r="C10" s="172">
        <f>IFERROR(C8/#REF!,0)</f>
        <v>0</v>
      </c>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BE10" s="133" t="s">
        <v>146</v>
      </c>
    </row>
    <row r="11" spans="1:57">
      <c r="C11" s="176"/>
      <c r="BE11" s="133" t="s">
        <v>146</v>
      </c>
    </row>
    <row r="12" spans="1:57">
      <c r="B12" s="132" t="s">
        <v>57</v>
      </c>
      <c r="C12" s="167">
        <f>(NPV(WACC,'Results Calculation'!E12:AQ12)+'Results Calculation'!D12)/(1+WACC)^0.5</f>
        <v>-238823310.60886219</v>
      </c>
      <c r="D12" s="168">
        <f>'Income Statement (Results)'!C9</f>
        <v>-472515.83063646668</v>
      </c>
      <c r="E12" s="168">
        <f>'Income Statement (Results)'!D9</f>
        <v>-6574696.2122196537</v>
      </c>
      <c r="F12" s="168">
        <f>'Income Statement (Results)'!E9</f>
        <v>-7669793.5460921042</v>
      </c>
      <c r="G12" s="168">
        <f>'Income Statement (Results)'!F9</f>
        <v>-14185582.545780562</v>
      </c>
      <c r="H12" s="168">
        <f>'Income Statement (Results)'!G9</f>
        <v>-12031867.087939808</v>
      </c>
      <c r="I12" s="168">
        <f>'Income Statement (Results)'!H9</f>
        <v>-12770405.637546735</v>
      </c>
      <c r="J12" s="168">
        <f>'Income Statement (Results)'!I9</f>
        <v>-14869542.307376042</v>
      </c>
      <c r="K12" s="168">
        <f>'Income Statement (Results)'!J9</f>
        <v>-17143522.477703594</v>
      </c>
      <c r="L12" s="168">
        <f>'Income Statement (Results)'!K9</f>
        <v>-19751929.952036683</v>
      </c>
      <c r="M12" s="168">
        <f>'Income Statement (Results)'!L9</f>
        <v>-22267109.902521782</v>
      </c>
      <c r="N12" s="168">
        <f>'Income Statement (Results)'!M9</f>
        <v>-26096764.381659083</v>
      </c>
      <c r="O12" s="168">
        <f>'Income Statement (Results)'!N9</f>
        <v>-29172527.532278325</v>
      </c>
      <c r="P12" s="168">
        <f>'Income Statement (Results)'!O9</f>
        <v>-32546250.451689467</v>
      </c>
      <c r="Q12" s="168">
        <f>'Income Statement (Results)'!P9</f>
        <v>-36380882.131553598</v>
      </c>
      <c r="R12" s="168">
        <f>'Income Statement (Results)'!Q9</f>
        <v>-40449356.546508506</v>
      </c>
      <c r="S12" s="168">
        <f>'Income Statement (Results)'!R9</f>
        <v>-44052638.106116906</v>
      </c>
      <c r="T12" s="168">
        <f>'Income Statement (Results)'!S9</f>
        <v>-48735636.759026721</v>
      </c>
      <c r="U12" s="168">
        <f>'Income Statement (Results)'!T9</f>
        <v>-53096825.440337688</v>
      </c>
      <c r="V12" s="168">
        <f>'Income Statement (Results)'!U9</f>
        <v>-55989046.117263652</v>
      </c>
      <c r="W12" s="168">
        <f>'Income Statement (Results)'!V9</f>
        <v>-57567703.927123815</v>
      </c>
      <c r="X12" s="168">
        <f>'Income Statement (Results)'!W9</f>
        <v>-57978692.381805211</v>
      </c>
      <c r="Y12" s="168">
        <f>'Income Statement (Results)'!X9</f>
        <v>-58401898.280915782</v>
      </c>
      <c r="Z12" s="168">
        <f>'Income Statement (Results)'!Y9</f>
        <v>0</v>
      </c>
      <c r="AA12" s="168">
        <f>'Income Statement (Results)'!Z9</f>
        <v>0</v>
      </c>
      <c r="AB12" s="168">
        <f>'Income Statement (Results)'!AA9</f>
        <v>0</v>
      </c>
      <c r="AC12" s="168">
        <f>'Income Statement (Results)'!AB9</f>
        <v>0</v>
      </c>
      <c r="AD12" s="168">
        <f>'Income Statement (Results)'!AC9</f>
        <v>0</v>
      </c>
      <c r="AE12" s="168">
        <f>'Income Statement (Results)'!AD9</f>
        <v>0</v>
      </c>
      <c r="AF12" s="168">
        <f>'Income Statement (Results)'!AE9</f>
        <v>0</v>
      </c>
      <c r="AG12" s="168">
        <f>'Income Statement (Results)'!AF9</f>
        <v>0</v>
      </c>
      <c r="AH12" s="168">
        <f>'Income Statement (Results)'!AG9</f>
        <v>0</v>
      </c>
      <c r="AI12" s="168">
        <f>'Income Statement (Results)'!AH9</f>
        <v>0</v>
      </c>
      <c r="AJ12" s="168">
        <f>'Income Statement (Results)'!AI9</f>
        <v>0</v>
      </c>
      <c r="AK12" s="168">
        <f>'Income Statement (Results)'!AJ9</f>
        <v>0</v>
      </c>
      <c r="AL12" s="168">
        <f>'Income Statement (Results)'!AK9</f>
        <v>0</v>
      </c>
      <c r="AM12" s="168">
        <f>'Income Statement (Results)'!AL9</f>
        <v>0</v>
      </c>
      <c r="AN12" s="168">
        <f>'Income Statement (Results)'!AM9</f>
        <v>0</v>
      </c>
      <c r="AO12" s="168">
        <f>'Income Statement (Results)'!AN9</f>
        <v>0</v>
      </c>
      <c r="AP12" s="168">
        <f>'Income Statement (Results)'!AO9</f>
        <v>0</v>
      </c>
      <c r="AQ12" s="168">
        <f>'Income Statement (Results)'!AP9</f>
        <v>0</v>
      </c>
      <c r="AR12" s="168">
        <f>'Income Statement (Results)'!AQ9</f>
        <v>0</v>
      </c>
      <c r="AS12" s="168">
        <f>'Income Statement (Results)'!AR9</f>
        <v>0</v>
      </c>
      <c r="AT12" s="168">
        <f>'Income Statement (Results)'!AS9</f>
        <v>0</v>
      </c>
      <c r="AU12" s="168">
        <f>'Income Statement (Results)'!AT9</f>
        <v>0</v>
      </c>
      <c r="AV12" s="168">
        <f>'Income Statement (Results)'!AU9</f>
        <v>0</v>
      </c>
      <c r="AW12" s="168">
        <f>'Income Statement (Results)'!AV9</f>
        <v>0</v>
      </c>
      <c r="AX12" s="168">
        <f>'Income Statement (Results)'!AW9</f>
        <v>0</v>
      </c>
      <c r="AY12" s="168">
        <f>'Income Statement (Results)'!AX9</f>
        <v>0</v>
      </c>
      <c r="AZ12" s="168">
        <f>'Income Statement (Results)'!AY9</f>
        <v>0</v>
      </c>
      <c r="BA12" s="168">
        <f>'Income Statement (Results)'!AZ9</f>
        <v>0</v>
      </c>
      <c r="BB12" s="168">
        <f>'Income Statement (Results)'!BA9</f>
        <v>0</v>
      </c>
      <c r="BC12" s="168">
        <f>'Income Statement (Results)'!BB9</f>
        <v>0</v>
      </c>
      <c r="BD12" s="168">
        <f>'Income Statement (Results)'!BC9</f>
        <v>0</v>
      </c>
      <c r="BE12" s="133" t="s">
        <v>146</v>
      </c>
    </row>
    <row r="13" spans="1:57">
      <c r="B13" s="132" t="s">
        <v>96</v>
      </c>
      <c r="C13" s="167">
        <f>(NPV(WACC,'Results Calculation'!E13:AQ13)+'Results Calculation'!D13)/(1+WACC)^0.5</f>
        <v>330709415.55487078</v>
      </c>
      <c r="D13" s="168">
        <f>'Cash Flow Statement (Results)'!C12</f>
        <v>19793828.009456668</v>
      </c>
      <c r="E13" s="168">
        <f>'Cash Flow Statement (Results)'!D12</f>
        <v>32342118.307692379</v>
      </c>
      <c r="F13" s="168">
        <f>'Cash Flow Statement (Results)'!E12</f>
        <v>76704140.577343047</v>
      </c>
      <c r="G13" s="168">
        <f>'Cash Flow Statement (Results)'!F12</f>
        <v>63560675.937072933</v>
      </c>
      <c r="H13" s="168">
        <f>'Cash Flow Statement (Results)'!G12</f>
        <v>65786296.585617647</v>
      </c>
      <c r="I13" s="168">
        <f>'Cash Flow Statement (Results)'!H12</f>
        <v>67759885.48318617</v>
      </c>
      <c r="J13" s="168">
        <f>'Cash Flow Statement (Results)'!I12</f>
        <v>69792682.047681749</v>
      </c>
      <c r="K13" s="168">
        <f>'Cash Flow Statement (Results)'!J12</f>
        <v>60300501.335585594</v>
      </c>
      <c r="L13" s="168">
        <f>'Cash Flow Statement (Results)'!K12</f>
        <v>588642.75358512939</v>
      </c>
      <c r="M13" s="168">
        <f>'Cash Flow Statement (Results)'!L12</f>
        <v>502476.37930266297</v>
      </c>
      <c r="N13" s="168">
        <f>'Cash Flow Statement (Results)'!M12</f>
        <v>507828.81371840462</v>
      </c>
      <c r="O13" s="168">
        <f>'Cash Flow Statement (Results)'!N12</f>
        <v>523063.67812995671</v>
      </c>
      <c r="P13" s="168">
        <f>'Cash Flow Statement (Results)'!O12</f>
        <v>0</v>
      </c>
      <c r="Q13" s="168">
        <f>'Cash Flow Statement (Results)'!P12</f>
        <v>0</v>
      </c>
      <c r="R13" s="168">
        <f>'Cash Flow Statement (Results)'!Q12</f>
        <v>0</v>
      </c>
      <c r="S13" s="168">
        <f>'Cash Flow Statement (Results)'!R12</f>
        <v>0</v>
      </c>
      <c r="T13" s="168">
        <f>'Cash Flow Statement (Results)'!S12</f>
        <v>0</v>
      </c>
      <c r="U13" s="168">
        <f>'Cash Flow Statement (Results)'!T12</f>
        <v>0</v>
      </c>
      <c r="V13" s="168">
        <f>'Cash Flow Statement (Results)'!U12</f>
        <v>0</v>
      </c>
      <c r="W13" s="168">
        <f>'Cash Flow Statement (Results)'!V12</f>
        <v>0</v>
      </c>
      <c r="X13" s="168">
        <f>'Cash Flow Statement (Results)'!W12</f>
        <v>0</v>
      </c>
      <c r="Y13" s="168">
        <f>'Cash Flow Statement (Results)'!X12</f>
        <v>0</v>
      </c>
      <c r="Z13" s="168">
        <f>'Cash Flow Statement (Results)'!Y12</f>
        <v>0</v>
      </c>
      <c r="AA13" s="168">
        <f>'Cash Flow Statement (Results)'!Z12</f>
        <v>0</v>
      </c>
      <c r="AB13" s="168">
        <f>'Cash Flow Statement (Results)'!AA12</f>
        <v>0</v>
      </c>
      <c r="AC13" s="168">
        <f>'Cash Flow Statement (Results)'!AB12</f>
        <v>0</v>
      </c>
      <c r="AD13" s="168">
        <f>'Cash Flow Statement (Results)'!AC12</f>
        <v>0</v>
      </c>
      <c r="AE13" s="168">
        <f>'Cash Flow Statement (Results)'!AD12</f>
        <v>0</v>
      </c>
      <c r="AF13" s="168">
        <f>'Cash Flow Statement (Results)'!AE12</f>
        <v>0</v>
      </c>
      <c r="AG13" s="168">
        <f>'Cash Flow Statement (Results)'!AF12</f>
        <v>0</v>
      </c>
      <c r="AH13" s="168">
        <f>'Cash Flow Statement (Results)'!AG12</f>
        <v>0</v>
      </c>
      <c r="AI13" s="168">
        <f>'Cash Flow Statement (Results)'!AH12</f>
        <v>0</v>
      </c>
      <c r="AJ13" s="168">
        <f>'Cash Flow Statement (Results)'!AI12</f>
        <v>0</v>
      </c>
      <c r="AK13" s="168">
        <f>'Cash Flow Statement (Results)'!AJ12</f>
        <v>0</v>
      </c>
      <c r="AL13" s="168">
        <f>'Cash Flow Statement (Results)'!AK12</f>
        <v>0</v>
      </c>
      <c r="AM13" s="168">
        <f>'Cash Flow Statement (Results)'!AL12</f>
        <v>0</v>
      </c>
      <c r="AN13" s="168">
        <f>'Cash Flow Statement (Results)'!AM12</f>
        <v>0</v>
      </c>
      <c r="AO13" s="168">
        <f>'Cash Flow Statement (Results)'!AN12</f>
        <v>0</v>
      </c>
      <c r="AP13" s="168">
        <f>'Cash Flow Statement (Results)'!AO12</f>
        <v>0</v>
      </c>
      <c r="AQ13" s="168">
        <f>'Cash Flow Statement (Results)'!AP12</f>
        <v>0</v>
      </c>
      <c r="AR13" s="168">
        <f>'Cash Flow Statement (Results)'!AQ12</f>
        <v>0</v>
      </c>
      <c r="AS13" s="168">
        <f>'Cash Flow Statement (Results)'!AR12</f>
        <v>0</v>
      </c>
      <c r="AT13" s="168">
        <f>'Cash Flow Statement (Results)'!AS12</f>
        <v>0</v>
      </c>
      <c r="AU13" s="168">
        <f>'Cash Flow Statement (Results)'!AT12</f>
        <v>0</v>
      </c>
      <c r="AV13" s="168">
        <f>'Cash Flow Statement (Results)'!AU12</f>
        <v>0</v>
      </c>
      <c r="AW13" s="168">
        <f>'Cash Flow Statement (Results)'!AV12</f>
        <v>0</v>
      </c>
      <c r="AX13" s="168">
        <f>'Cash Flow Statement (Results)'!AW12</f>
        <v>0</v>
      </c>
      <c r="AY13" s="168">
        <f>'Cash Flow Statement (Results)'!AX12</f>
        <v>0</v>
      </c>
      <c r="AZ13" s="168">
        <f>'Cash Flow Statement (Results)'!AY12</f>
        <v>0</v>
      </c>
      <c r="BA13" s="168">
        <f>'Cash Flow Statement (Results)'!AZ12</f>
        <v>0</v>
      </c>
      <c r="BB13" s="168">
        <f>'Cash Flow Statement (Results)'!BA12</f>
        <v>0</v>
      </c>
      <c r="BC13" s="168">
        <f>'Cash Flow Statement (Results)'!BB12</f>
        <v>0</v>
      </c>
      <c r="BD13" s="168">
        <f>'Cash Flow Statement (Results)'!BC12</f>
        <v>0</v>
      </c>
      <c r="BE13" s="133" t="s">
        <v>146</v>
      </c>
    </row>
    <row r="14" spans="1:57">
      <c r="C14" s="172"/>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33" t="s">
        <v>146</v>
      </c>
    </row>
    <row r="15" spans="1:57">
      <c r="B15" s="174" t="s">
        <v>133</v>
      </c>
      <c r="C15" s="177">
        <f>IFERROR(C10/C13,0)</f>
        <v>0</v>
      </c>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33" t="s">
        <v>146</v>
      </c>
    </row>
    <row r="16" spans="1:57">
      <c r="C16" s="172"/>
      <c r="BE16" s="133" t="s">
        <v>146</v>
      </c>
    </row>
    <row r="17" spans="1:57">
      <c r="B17" s="132" t="s">
        <v>91</v>
      </c>
      <c r="C17" s="167">
        <f>NPV(After_Tax_Cash_Discount,D17:BE17)*(1+After_Tax_Cash_Discount)^0.5</f>
        <v>7787452.7272397922</v>
      </c>
      <c r="D17" s="168">
        <f>'Cash Flow Statement (Results)'!C14</f>
        <v>-19793828.009456668</v>
      </c>
      <c r="E17" s="168">
        <f>'Cash Flow Statement (Results)'!D14</f>
        <v>-30906353.848851658</v>
      </c>
      <c r="F17" s="168">
        <f>'Cash Flow Statement (Results)'!E14</f>
        <v>-71010884.682268471</v>
      </c>
      <c r="G17" s="168">
        <f>'Cash Flow Statement (Results)'!F14</f>
        <v>-49576460.547884166</v>
      </c>
      <c r="H17" s="168">
        <f>'Cash Flow Statement (Results)'!G14</f>
        <v>-40757770.013271004</v>
      </c>
      <c r="I17" s="168">
        <f>'Cash Flow Statement (Results)'!H14</f>
        <v>-34159911.552578755</v>
      </c>
      <c r="J17" s="168">
        <f>'Cash Flow Statement (Results)'!I14</f>
        <v>-28128086.487562023</v>
      </c>
      <c r="K17" s="168">
        <f>'Cash Flow Statement (Results)'!J14</f>
        <v>-10952238.477884702</v>
      </c>
      <c r="L17" s="168">
        <f>'Cash Flow Statement (Results)'!K14</f>
        <v>55379513.410377629</v>
      </c>
      <c r="M17" s="168">
        <f>'Cash Flow Statement (Results)'!L14</f>
        <v>56435264.504224241</v>
      </c>
      <c r="N17" s="168">
        <f>'Cash Flow Statement (Results)'!M14</f>
        <v>51518664.182437345</v>
      </c>
      <c r="O17" s="168">
        <f>'Cash Flow Statement (Results)'!N14</f>
        <v>47378887.851342909</v>
      </c>
      <c r="P17" s="168">
        <f>'Cash Flow Statement (Results)'!O14</f>
        <v>44224001.442363314</v>
      </c>
      <c r="Q17" s="168">
        <f>'Cash Flow Statement (Results)'!P14</f>
        <v>40511956.554084934</v>
      </c>
      <c r="R17" s="168">
        <f>'Cash Flow Statement (Results)'!Q14</f>
        <v>36936838.356594309</v>
      </c>
      <c r="S17" s="168">
        <f>'Cash Flow Statement (Results)'!R14</f>
        <v>33807683.018708855</v>
      </c>
      <c r="T17" s="168">
        <f>'Cash Flow Statement (Results)'!S14</f>
        <v>30742024.140222687</v>
      </c>
      <c r="U17" s="168">
        <f>'Cash Flow Statement (Results)'!T14</f>
        <v>27743943.295355991</v>
      </c>
      <c r="V17" s="168">
        <f>'Cash Flow Statement (Results)'!U14</f>
        <v>24952625.73136878</v>
      </c>
      <c r="W17" s="168">
        <f>'Cash Flow Statement (Results)'!V14</f>
        <v>23097361.057389826</v>
      </c>
      <c r="X17" s="168">
        <f>'Cash Flow Statement (Results)'!W14</f>
        <v>22006842.072535563</v>
      </c>
      <c r="Y17" s="168">
        <f>'Cash Flow Statement (Results)'!X14</f>
        <v>20918191.481092606</v>
      </c>
      <c r="Z17" s="168">
        <f>'Cash Flow Statement (Results)'!Y14</f>
        <v>19160057.030076355</v>
      </c>
      <c r="AA17" s="168">
        <f>'Cash Flow Statement (Results)'!Z14</f>
        <v>17030468.629316203</v>
      </c>
      <c r="AB17" s="168">
        <f>'Cash Flow Statement (Results)'!AA14</f>
        <v>13481635.724352872</v>
      </c>
      <c r="AC17" s="168">
        <f>'Cash Flow Statement (Results)'!AB14</f>
        <v>10557627.016320163</v>
      </c>
      <c r="AD17" s="168">
        <f>'Cash Flow Statement (Results)'!AC14</f>
        <v>7707334.4562991653</v>
      </c>
      <c r="AE17" s="168">
        <f>'Cash Flow Statement (Results)'!AD14</f>
        <v>4944509.4088509399</v>
      </c>
      <c r="AF17" s="168">
        <f>'Cash Flow Statement (Results)'!AE14</f>
        <v>2271775.8993526683</v>
      </c>
      <c r="AG17" s="168">
        <f>'Cash Flow Statement (Results)'!AF14</f>
        <v>84052.448411147634</v>
      </c>
      <c r="AH17" s="168">
        <f>'Cash Flow Statement (Results)'!AG14</f>
        <v>59148.879853282626</v>
      </c>
      <c r="AI17" s="168">
        <f>'Cash Flow Statement (Results)'!AH14</f>
        <v>38542.72946211246</v>
      </c>
      <c r="AJ17" s="168">
        <f>'Cash Flow Statement (Results)'!AI14</f>
        <v>18933.767651923343</v>
      </c>
      <c r="AK17" s="168">
        <f>'Cash Flow Statement (Results)'!AJ14</f>
        <v>2.7565240961848763E-9</v>
      </c>
      <c r="AL17" s="168">
        <f>'Cash Flow Statement (Results)'!AK14</f>
        <v>2.7565240961848763E-9</v>
      </c>
      <c r="AM17" s="168">
        <f>'Cash Flow Statement (Results)'!AL14</f>
        <v>2.7565240961848763E-9</v>
      </c>
      <c r="AN17" s="168">
        <f>'Cash Flow Statement (Results)'!AM14</f>
        <v>2.7565240961848763E-9</v>
      </c>
      <c r="AO17" s="168">
        <f>'Cash Flow Statement (Results)'!AN14</f>
        <v>2.7565240961848763E-9</v>
      </c>
      <c r="AP17" s="168">
        <f>'Cash Flow Statement (Results)'!AO14</f>
        <v>2.7565240961848763E-9</v>
      </c>
      <c r="AQ17" s="168">
        <f>'Cash Flow Statement (Results)'!AP14</f>
        <v>2.7565240961848763E-9</v>
      </c>
      <c r="AR17" s="168">
        <f>'Cash Flow Statement (Results)'!AQ14</f>
        <v>2.7565240961848763E-9</v>
      </c>
      <c r="AS17" s="168">
        <f>'Cash Flow Statement (Results)'!AR14</f>
        <v>2.7565240961848763E-9</v>
      </c>
      <c r="AT17" s="168">
        <f>'Cash Flow Statement (Results)'!AS14</f>
        <v>2.7565240961848763E-9</v>
      </c>
      <c r="AU17" s="168">
        <f>'Cash Flow Statement (Results)'!AT14</f>
        <v>2.7565240961848763E-9</v>
      </c>
      <c r="AV17" s="168">
        <f>'Cash Flow Statement (Results)'!AU14</f>
        <v>2.7565240961848763E-9</v>
      </c>
      <c r="AW17" s="168">
        <f>'Cash Flow Statement (Results)'!AV14</f>
        <v>2.7565240961848763E-9</v>
      </c>
      <c r="AX17" s="168">
        <f>'Cash Flow Statement (Results)'!AW14</f>
        <v>2.7565240961848763E-9</v>
      </c>
      <c r="AY17" s="168">
        <f>'Cash Flow Statement (Results)'!AX14</f>
        <v>2.7565240961848763E-9</v>
      </c>
      <c r="AZ17" s="168">
        <f>'Cash Flow Statement (Results)'!AY14</f>
        <v>2.7565240961848763E-9</v>
      </c>
      <c r="BA17" s="168">
        <f>'Cash Flow Statement (Results)'!AZ14</f>
        <v>2.7565240961848763E-9</v>
      </c>
      <c r="BB17" s="168">
        <f>'Cash Flow Statement (Results)'!BA14</f>
        <v>2.7565240961848763E-9</v>
      </c>
      <c r="BC17" s="168">
        <f>'Cash Flow Statement (Results)'!BB14</f>
        <v>2.7565240961848763E-9</v>
      </c>
      <c r="BD17" s="168">
        <f>'Cash Flow Statement (Results)'!BC14</f>
        <v>2.7565240961848763E-9</v>
      </c>
      <c r="BE17" s="133" t="s">
        <v>146</v>
      </c>
    </row>
    <row r="18" spans="1:57">
      <c r="C18" s="172"/>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33" t="s">
        <v>146</v>
      </c>
    </row>
    <row r="19" spans="1:57">
      <c r="B19" s="132" t="s">
        <v>103</v>
      </c>
      <c r="C19" s="167">
        <f>NPV(After_Tax_Cash_Discount,'Cash Flow Statement (Results)'!C32:AP32)*(1+After_Tax_Cash_Discount)^0.5</f>
        <v>-71864714.477054328</v>
      </c>
      <c r="D19" s="168">
        <f>'Cash Flow Statement (Results)'!C34</f>
        <v>-18865350.654162765</v>
      </c>
      <c r="E19" s="168">
        <f>'Cash Flow Statement (Results)'!D34</f>
        <v>-24790881.335140094</v>
      </c>
      <c r="F19" s="168">
        <f>'Cash Flow Statement (Results)'!E34</f>
        <v>-58810781.206890129</v>
      </c>
      <c r="G19" s="168">
        <f>'Cash Flow Statement (Results)'!F34</f>
        <v>-38398675.903554477</v>
      </c>
      <c r="H19" s="168">
        <f>'Cash Flow Statement (Results)'!G34</f>
        <v>-35666026.864064261</v>
      </c>
      <c r="I19" s="168">
        <f>'Cash Flow Statement (Results)'!H34</f>
        <v>-32488965.129376031</v>
      </c>
      <c r="J19" s="168">
        <f>'Cash Flow Statement (Results)'!I34</f>
        <v>-29296764.787528843</v>
      </c>
      <c r="K19" s="168">
        <f>'Cash Flow Statement (Results)'!J34</f>
        <v>-19394459.45216978</v>
      </c>
      <c r="L19" s="168">
        <f>'Cash Flow Statement (Results)'!K34</f>
        <v>18119658.790442243</v>
      </c>
      <c r="M19" s="168">
        <f>'Cash Flow Statement (Results)'!L34</f>
        <v>17322075.016487837</v>
      </c>
      <c r="N19" s="168">
        <f>'Cash Flow Statement (Results)'!M34</f>
        <v>16083636.150929829</v>
      </c>
      <c r="O19" s="168">
        <f>'Cash Flow Statement (Results)'!N34</f>
        <v>14993504.286153827</v>
      </c>
      <c r="P19" s="168">
        <f>'Cash Flow Statement (Results)'!O34</f>
        <v>14441699.556983145</v>
      </c>
      <c r="Q19" s="168">
        <f>'Cash Flow Statement (Results)'!P34</f>
        <v>13747254.772356162</v>
      </c>
      <c r="R19" s="168">
        <f>'Cash Flow Statement (Results)'!Q34</f>
        <v>13159410.62034259</v>
      </c>
      <c r="S19" s="168">
        <f>'Cash Flow Statement (Results)'!R34</f>
        <v>12600204.446141476</v>
      </c>
      <c r="T19" s="168">
        <f>'Cash Flow Statement (Results)'!S34</f>
        <v>12284412.5185805</v>
      </c>
      <c r="U19" s="168">
        <f>'Cash Flow Statement (Results)'!T34</f>
        <v>11876837.940057283</v>
      </c>
      <c r="V19" s="168">
        <f>'Cash Flow Statement (Results)'!U34</f>
        <v>11213037.673079219</v>
      </c>
      <c r="W19" s="168">
        <f>'Cash Flow Statement (Results)'!V34</f>
        <v>10586670.018481461</v>
      </c>
      <c r="X19" s="168">
        <f>'Cash Flow Statement (Results)'!W34</f>
        <v>9989492.0670503248</v>
      </c>
      <c r="Y19" s="168">
        <f>'Cash Flow Statement (Results)'!X34</f>
        <v>9427792.9083076362</v>
      </c>
      <c r="Z19" s="168">
        <f>'Cash Flow Statement (Results)'!Y34</f>
        <v>1504.0904385119579</v>
      </c>
      <c r="AA19" s="168">
        <f>'Cash Flow Statement (Results)'!Z34</f>
        <v>0</v>
      </c>
      <c r="AB19" s="168">
        <f>'Cash Flow Statement (Results)'!AA34</f>
        <v>0</v>
      </c>
      <c r="AC19" s="168">
        <f>'Cash Flow Statement (Results)'!AB34</f>
        <v>0</v>
      </c>
      <c r="AD19" s="168">
        <f>'Cash Flow Statement (Results)'!AC34</f>
        <v>0</v>
      </c>
      <c r="AE19" s="168">
        <f>'Cash Flow Statement (Results)'!AD34</f>
        <v>0</v>
      </c>
      <c r="AF19" s="168">
        <f>'Cash Flow Statement (Results)'!AE34</f>
        <v>0</v>
      </c>
      <c r="AG19" s="168">
        <f>'Cash Flow Statement (Results)'!AF34</f>
        <v>0</v>
      </c>
      <c r="AH19" s="168">
        <f>'Cash Flow Statement (Results)'!AG34</f>
        <v>0</v>
      </c>
      <c r="AI19" s="168">
        <f>'Cash Flow Statement (Results)'!AH34</f>
        <v>0</v>
      </c>
      <c r="AJ19" s="168">
        <f>'Cash Flow Statement (Results)'!AI34</f>
        <v>0</v>
      </c>
      <c r="AK19" s="168">
        <f>'Cash Flow Statement (Results)'!AJ34</f>
        <v>0</v>
      </c>
      <c r="AL19" s="168">
        <f>'Cash Flow Statement (Results)'!AK34</f>
        <v>0</v>
      </c>
      <c r="AM19" s="168">
        <f>'Cash Flow Statement (Results)'!AL34</f>
        <v>0</v>
      </c>
      <c r="AN19" s="168">
        <f>'Cash Flow Statement (Results)'!AM34</f>
        <v>0</v>
      </c>
      <c r="AO19" s="168">
        <f>'Cash Flow Statement (Results)'!AN34</f>
        <v>0</v>
      </c>
      <c r="AP19" s="168">
        <f>'Cash Flow Statement (Results)'!AO34</f>
        <v>0</v>
      </c>
      <c r="AQ19" s="168">
        <f>'Cash Flow Statement (Results)'!AP34</f>
        <v>0</v>
      </c>
      <c r="AR19" s="168">
        <f>'Cash Flow Statement (Results)'!AQ34</f>
        <v>0</v>
      </c>
      <c r="AS19" s="168">
        <f>'Cash Flow Statement (Results)'!AR34</f>
        <v>0</v>
      </c>
      <c r="AT19" s="168">
        <f>'Cash Flow Statement (Results)'!AS34</f>
        <v>0</v>
      </c>
      <c r="AU19" s="168">
        <f>'Cash Flow Statement (Results)'!AT34</f>
        <v>0</v>
      </c>
      <c r="AV19" s="168">
        <f>'Cash Flow Statement (Results)'!AU34</f>
        <v>0</v>
      </c>
      <c r="AW19" s="168">
        <f>'Cash Flow Statement (Results)'!AV34</f>
        <v>0</v>
      </c>
      <c r="AX19" s="168">
        <f>'Cash Flow Statement (Results)'!AW34</f>
        <v>0</v>
      </c>
      <c r="AY19" s="168">
        <f>'Cash Flow Statement (Results)'!AX34</f>
        <v>0</v>
      </c>
      <c r="AZ19" s="168">
        <f>'Cash Flow Statement (Results)'!AY34</f>
        <v>0</v>
      </c>
      <c r="BA19" s="168">
        <f>'Cash Flow Statement (Results)'!AZ34</f>
        <v>0</v>
      </c>
      <c r="BB19" s="168">
        <f>'Cash Flow Statement (Results)'!BA34</f>
        <v>0</v>
      </c>
      <c r="BC19" s="168">
        <f>'Cash Flow Statement (Results)'!BB34</f>
        <v>0</v>
      </c>
      <c r="BD19" s="168">
        <f>'Cash Flow Statement (Results)'!BC34</f>
        <v>0</v>
      </c>
      <c r="BE19" s="133" t="s">
        <v>146</v>
      </c>
    </row>
    <row r="20" spans="1:57">
      <c r="B20" s="132" t="s">
        <v>115</v>
      </c>
      <c r="C20" s="167"/>
      <c r="D20" s="168">
        <f>'Cash Flow Statement (Results)'!C35</f>
        <v>-19486692.719542965</v>
      </c>
      <c r="E20" s="168">
        <f>'Cash Flow Statement (Results)'!D35</f>
        <v>-43656231.989302859</v>
      </c>
      <c r="F20" s="168">
        <f>'Cash Flow Statement (Results)'!E35</f>
        <v>-102467013.19619298</v>
      </c>
      <c r="G20" s="168">
        <f>'Cash Flow Statement (Results)'!F35</f>
        <v>-140865689.09974745</v>
      </c>
      <c r="H20" s="168">
        <f>'Cash Flow Statement (Results)'!G35</f>
        <v>-176531715.9638117</v>
      </c>
      <c r="I20" s="168">
        <f>'Cash Flow Statement (Results)'!H35</f>
        <v>-209020681.09318772</v>
      </c>
      <c r="J20" s="168">
        <f>'Cash Flow Statement (Results)'!I35</f>
        <v>-238317445.88071656</v>
      </c>
      <c r="K20" s="168">
        <f>'Cash Flow Statement (Results)'!J35</f>
        <v>-257711905.33288634</v>
      </c>
      <c r="L20" s="168">
        <f>'Cash Flow Statement (Results)'!K35</f>
        <v>-239592246.54244411</v>
      </c>
      <c r="M20" s="168">
        <f>'Cash Flow Statement (Results)'!L35</f>
        <v>-222270171.52595627</v>
      </c>
      <c r="N20" s="168">
        <f>'Cash Flow Statement (Results)'!M35</f>
        <v>-206186535.37502643</v>
      </c>
      <c r="O20" s="168">
        <f>'Cash Flow Statement (Results)'!N35</f>
        <v>-191193031.08887261</v>
      </c>
      <c r="P20" s="168">
        <f>'Cash Flow Statement (Results)'!O35</f>
        <v>-176751331.53188947</v>
      </c>
      <c r="Q20" s="168">
        <f>'Cash Flow Statement (Results)'!P35</f>
        <v>-163004076.75953332</v>
      </c>
      <c r="R20" s="168">
        <f>'Cash Flow Statement (Results)'!Q35</f>
        <v>-149844666.13919073</v>
      </c>
      <c r="S20" s="168">
        <f>'Cash Flow Statement (Results)'!R35</f>
        <v>-137244461.69304925</v>
      </c>
      <c r="T20" s="168">
        <f>'Cash Flow Statement (Results)'!S35</f>
        <v>-124960049.17446876</v>
      </c>
      <c r="U20" s="168">
        <f>'Cash Flow Statement (Results)'!T35</f>
        <v>-113083211.23441148</v>
      </c>
      <c r="V20" s="168">
        <f>'Cash Flow Statement (Results)'!U35</f>
        <v>-101870173.56133226</v>
      </c>
      <c r="W20" s="168">
        <f>'Cash Flow Statement (Results)'!V35</f>
        <v>-91283503.542850792</v>
      </c>
      <c r="X20" s="168">
        <f>'Cash Flow Statement (Results)'!W35</f>
        <v>-81294011.47580047</v>
      </c>
      <c r="Y20" s="168">
        <f>'Cash Flow Statement (Results)'!X35</f>
        <v>-71866218.567492828</v>
      </c>
      <c r="Z20" s="168">
        <f>'Cash Flow Statement (Results)'!Y35</f>
        <v>-71864714.477054313</v>
      </c>
      <c r="AA20" s="168">
        <f>'Cash Flow Statement (Results)'!Z35</f>
        <v>-71864714.477054313</v>
      </c>
      <c r="AB20" s="168">
        <f>'Cash Flow Statement (Results)'!AA35</f>
        <v>-71864714.477054313</v>
      </c>
      <c r="AC20" s="168">
        <f>'Cash Flow Statement (Results)'!AB35</f>
        <v>-71864714.477054313</v>
      </c>
      <c r="AD20" s="168">
        <f>'Cash Flow Statement (Results)'!AC35</f>
        <v>-71864714.477054313</v>
      </c>
      <c r="AE20" s="168">
        <f>'Cash Flow Statement (Results)'!AD35</f>
        <v>-71864714.477054313</v>
      </c>
      <c r="AF20" s="168">
        <f>'Cash Flow Statement (Results)'!AE35</f>
        <v>-71864714.477054313</v>
      </c>
      <c r="AG20" s="168">
        <f>'Cash Flow Statement (Results)'!AF35</f>
        <v>-71864714.477054313</v>
      </c>
      <c r="AH20" s="168">
        <f>'Cash Flow Statement (Results)'!AG35</f>
        <v>-71864714.477054313</v>
      </c>
      <c r="AI20" s="168">
        <f>'Cash Flow Statement (Results)'!AH35</f>
        <v>-71864714.477054313</v>
      </c>
      <c r="AJ20" s="168">
        <f>'Cash Flow Statement (Results)'!AI35</f>
        <v>-71864714.477054313</v>
      </c>
      <c r="AK20" s="168">
        <f>'Cash Flow Statement (Results)'!AJ35</f>
        <v>-71864714.477054313</v>
      </c>
      <c r="AL20" s="168">
        <f>'Cash Flow Statement (Results)'!AK35</f>
        <v>-71864714.477054313</v>
      </c>
      <c r="AM20" s="168">
        <f>'Cash Flow Statement (Results)'!AL35</f>
        <v>-71864714.477054313</v>
      </c>
      <c r="AN20" s="168">
        <f>'Cash Flow Statement (Results)'!AM35</f>
        <v>-71864714.477054313</v>
      </c>
      <c r="AO20" s="168">
        <f>'Cash Flow Statement (Results)'!AN35</f>
        <v>-71864714.477054313</v>
      </c>
      <c r="AP20" s="168">
        <f>'Cash Flow Statement (Results)'!AO35</f>
        <v>-71864714.477054313</v>
      </c>
      <c r="AQ20" s="168">
        <f>'Cash Flow Statement (Results)'!AP35</f>
        <v>-71864714.477054313</v>
      </c>
      <c r="AR20" s="168">
        <f>'Cash Flow Statement (Results)'!AQ35</f>
        <v>-71864714.477054313</v>
      </c>
      <c r="AS20" s="168">
        <f>'Cash Flow Statement (Results)'!AR35</f>
        <v>-71864714.477054313</v>
      </c>
      <c r="AT20" s="168">
        <f>'Cash Flow Statement (Results)'!AS35</f>
        <v>-71864714.477054313</v>
      </c>
      <c r="AU20" s="168">
        <f>'Cash Flow Statement (Results)'!AT35</f>
        <v>-71864714.477054313</v>
      </c>
      <c r="AV20" s="168">
        <f>'Cash Flow Statement (Results)'!AU35</f>
        <v>-71864714.477054313</v>
      </c>
      <c r="AW20" s="168">
        <f>'Cash Flow Statement (Results)'!AV35</f>
        <v>-71864714.477054313</v>
      </c>
      <c r="AX20" s="168">
        <f>'Cash Flow Statement (Results)'!AW35</f>
        <v>-71864714.477054313</v>
      </c>
      <c r="AY20" s="168">
        <f>'Cash Flow Statement (Results)'!AX35</f>
        <v>-71864714.477054313</v>
      </c>
      <c r="AZ20" s="168">
        <f>'Cash Flow Statement (Results)'!AY35</f>
        <v>-71864714.477054313</v>
      </c>
      <c r="BA20" s="168">
        <f>'Cash Flow Statement (Results)'!AZ35</f>
        <v>-71864714.477054313</v>
      </c>
      <c r="BB20" s="168">
        <f>'Cash Flow Statement (Results)'!BA35</f>
        <v>-71864714.477054313</v>
      </c>
      <c r="BC20" s="168">
        <f>'Cash Flow Statement (Results)'!BB35</f>
        <v>-71864714.477054313</v>
      </c>
      <c r="BD20" s="168">
        <f>'Cash Flow Statement (Results)'!BC35</f>
        <v>-71864714.477054313</v>
      </c>
      <c r="BE20" s="133" t="s">
        <v>146</v>
      </c>
    </row>
    <row r="21" spans="1:57">
      <c r="B21" s="132" t="s">
        <v>114</v>
      </c>
      <c r="C21" s="178" t="str">
        <f>IF(C19&gt;=0,SUM(D21:AQ21)+1,"No Payback")</f>
        <v>No Payback</v>
      </c>
      <c r="D21" s="173">
        <f>IF(D20&gt;0,0,1)</f>
        <v>1</v>
      </c>
      <c r="E21" s="173">
        <f>IF(E20&gt;0,0,1)</f>
        <v>1</v>
      </c>
      <c r="F21" s="173">
        <f t="shared" ref="F21:AQ21" si="15">IF(F20&gt;0,0,1)</f>
        <v>1</v>
      </c>
      <c r="G21" s="173">
        <f t="shared" si="15"/>
        <v>1</v>
      </c>
      <c r="H21" s="173">
        <f t="shared" si="15"/>
        <v>1</v>
      </c>
      <c r="I21" s="173">
        <f t="shared" si="15"/>
        <v>1</v>
      </c>
      <c r="J21" s="173">
        <f t="shared" si="15"/>
        <v>1</v>
      </c>
      <c r="K21" s="173">
        <f t="shared" si="15"/>
        <v>1</v>
      </c>
      <c r="L21" s="173">
        <f t="shared" si="15"/>
        <v>1</v>
      </c>
      <c r="M21" s="173">
        <f t="shared" si="15"/>
        <v>1</v>
      </c>
      <c r="N21" s="173">
        <f t="shared" si="15"/>
        <v>1</v>
      </c>
      <c r="O21" s="173">
        <f t="shared" si="15"/>
        <v>1</v>
      </c>
      <c r="P21" s="173">
        <f t="shared" si="15"/>
        <v>1</v>
      </c>
      <c r="Q21" s="173">
        <f t="shared" si="15"/>
        <v>1</v>
      </c>
      <c r="R21" s="173">
        <f t="shared" si="15"/>
        <v>1</v>
      </c>
      <c r="S21" s="173">
        <f t="shared" si="15"/>
        <v>1</v>
      </c>
      <c r="T21" s="173">
        <f t="shared" si="15"/>
        <v>1</v>
      </c>
      <c r="U21" s="173">
        <f t="shared" si="15"/>
        <v>1</v>
      </c>
      <c r="V21" s="173">
        <f t="shared" si="15"/>
        <v>1</v>
      </c>
      <c r="W21" s="173">
        <f t="shared" si="15"/>
        <v>1</v>
      </c>
      <c r="X21" s="173">
        <f t="shared" si="15"/>
        <v>1</v>
      </c>
      <c r="Y21" s="173">
        <f t="shared" si="15"/>
        <v>1</v>
      </c>
      <c r="Z21" s="173">
        <f t="shared" si="15"/>
        <v>1</v>
      </c>
      <c r="AA21" s="173">
        <f t="shared" si="15"/>
        <v>1</v>
      </c>
      <c r="AB21" s="173">
        <f t="shared" si="15"/>
        <v>1</v>
      </c>
      <c r="AC21" s="173">
        <f t="shared" si="15"/>
        <v>1</v>
      </c>
      <c r="AD21" s="173">
        <f t="shared" si="15"/>
        <v>1</v>
      </c>
      <c r="AE21" s="173">
        <f t="shared" si="15"/>
        <v>1</v>
      </c>
      <c r="AF21" s="173">
        <f t="shared" si="15"/>
        <v>1</v>
      </c>
      <c r="AG21" s="173">
        <f t="shared" si="15"/>
        <v>1</v>
      </c>
      <c r="AH21" s="173">
        <f t="shared" si="15"/>
        <v>1</v>
      </c>
      <c r="AI21" s="173">
        <f t="shared" si="15"/>
        <v>1</v>
      </c>
      <c r="AJ21" s="173">
        <f t="shared" si="15"/>
        <v>1</v>
      </c>
      <c r="AK21" s="173">
        <f t="shared" si="15"/>
        <v>1</v>
      </c>
      <c r="AL21" s="173">
        <f t="shared" si="15"/>
        <v>1</v>
      </c>
      <c r="AM21" s="173">
        <f t="shared" si="15"/>
        <v>1</v>
      </c>
      <c r="AN21" s="173">
        <f t="shared" si="15"/>
        <v>1</v>
      </c>
      <c r="AO21" s="173">
        <f t="shared" si="15"/>
        <v>1</v>
      </c>
      <c r="AP21" s="173">
        <f t="shared" si="15"/>
        <v>1</v>
      </c>
      <c r="AQ21" s="173">
        <f t="shared" si="15"/>
        <v>1</v>
      </c>
      <c r="AR21" s="173">
        <f t="shared" ref="AR21:BC21" si="16">IF(AR20&gt;0,0,1)</f>
        <v>1</v>
      </c>
      <c r="AS21" s="173">
        <f t="shared" si="16"/>
        <v>1</v>
      </c>
      <c r="AT21" s="173">
        <f t="shared" si="16"/>
        <v>1</v>
      </c>
      <c r="AU21" s="173">
        <f t="shared" si="16"/>
        <v>1</v>
      </c>
      <c r="AV21" s="173">
        <f t="shared" si="16"/>
        <v>1</v>
      </c>
      <c r="AW21" s="173">
        <f t="shared" si="16"/>
        <v>1</v>
      </c>
      <c r="AX21" s="173">
        <f t="shared" si="16"/>
        <v>1</v>
      </c>
      <c r="AY21" s="173">
        <f t="shared" si="16"/>
        <v>1</v>
      </c>
      <c r="AZ21" s="173">
        <f t="shared" si="16"/>
        <v>1</v>
      </c>
      <c r="BA21" s="173">
        <f t="shared" si="16"/>
        <v>1</v>
      </c>
      <c r="BB21" s="173">
        <f t="shared" si="16"/>
        <v>1</v>
      </c>
      <c r="BC21" s="173">
        <f t="shared" si="16"/>
        <v>1</v>
      </c>
      <c r="BD21" s="173">
        <f t="shared" ref="BD21" si="17">IF(BD20&gt;0,0,1)</f>
        <v>1</v>
      </c>
      <c r="BE21" s="133" t="s">
        <v>146</v>
      </c>
    </row>
    <row r="22" spans="1:57">
      <c r="C22" s="164"/>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33" t="s">
        <v>146</v>
      </c>
    </row>
    <row r="23" spans="1:57">
      <c r="C23" s="164"/>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33" t="s">
        <v>146</v>
      </c>
    </row>
    <row r="24" spans="1:57">
      <c r="C24" s="164"/>
      <c r="BE24" s="133" t="s">
        <v>146</v>
      </c>
    </row>
    <row r="25" spans="1:57">
      <c r="B25" s="132" t="s">
        <v>88</v>
      </c>
      <c r="C25" s="167">
        <f>(NPV(pre_tax_WACC,'Results Calculation'!E25:AQ25)+'Results Calculation'!D25)/(1+pre_tax_WACC)^0.5</f>
        <v>270245325.47557998</v>
      </c>
      <c r="D25" s="168">
        <f>'Income Statement (Results)'!C38</f>
        <v>0</v>
      </c>
      <c r="E25" s="168">
        <f>'Income Statement (Results)'!D38</f>
        <v>1060232.5588277213</v>
      </c>
      <c r="F25" s="168">
        <f>'Income Statement (Results)'!E38</f>
        <v>4814497.586896481</v>
      </c>
      <c r="G25" s="168">
        <f>'Income Statement (Results)'!F38</f>
        <v>12030737.009694118</v>
      </c>
      <c r="H25" s="168">
        <f>'Income Statement (Results)'!G38</f>
        <v>22779105.783878557</v>
      </c>
      <c r="I25" s="168">
        <f>'Income Statement (Results)'!H38</f>
        <v>31605207.00042665</v>
      </c>
      <c r="J25" s="168">
        <f>'Income Statement (Results)'!I38</f>
        <v>40280044.371248327</v>
      </c>
      <c r="K25" s="168">
        <f>'Income Statement (Results)'!J38</f>
        <v>48807485.173435457</v>
      </c>
      <c r="L25" s="168">
        <f>'Income Statement (Results)'!K38</f>
        <v>56591660.004986539</v>
      </c>
      <c r="M25" s="168">
        <f>'Income Statement (Results)'!L38</f>
        <v>59764309.257709518</v>
      </c>
      <c r="N25" s="168">
        <f>'Income Statement (Results)'!M38</f>
        <v>56489972.345340818</v>
      </c>
      <c r="O25" s="168">
        <f>'Income Statement (Results)'!N38</f>
        <v>53458828.282814637</v>
      </c>
      <c r="P25" s="168">
        <f>'Income Statement (Results)'!O38</f>
        <v>50633080.10138306</v>
      </c>
      <c r="Q25" s="168">
        <f>'Income Statement (Results)'!P38</f>
        <v>47975141.32437852</v>
      </c>
      <c r="R25" s="168">
        <f>'Income Statement (Results)'!Q38</f>
        <v>45461219.200186931</v>
      </c>
      <c r="S25" s="168">
        <f>'Income Statement (Results)'!R38</f>
        <v>43130406.058641799</v>
      </c>
      <c r="T25" s="168">
        <f>'Income Statement (Results)'!S38</f>
        <v>40968238.430481859</v>
      </c>
      <c r="U25" s="168">
        <f>'Income Statement (Results)'!T38</f>
        <v>38979414.488790117</v>
      </c>
      <c r="V25" s="168">
        <f>'Income Statement (Results)'!U38</f>
        <v>37161323.383512259</v>
      </c>
      <c r="W25" s="168">
        <f>'Income Statement (Results)'!V38</f>
        <v>35464893.5782094</v>
      </c>
      <c r="X25" s="168">
        <f>'Income Statement (Results)'!W38</f>
        <v>33807919.988399461</v>
      </c>
      <c r="Y25" s="168">
        <f>'Income Statement (Results)'!X38</f>
        <v>32152284.15107289</v>
      </c>
      <c r="Z25" s="168">
        <f>'Income Statement (Results)'!Y38</f>
        <v>29467064.618226022</v>
      </c>
      <c r="AA25" s="168">
        <f>'Income Statement (Results)'!Z38</f>
        <v>26200720.968178768</v>
      </c>
      <c r="AB25" s="168">
        <f>'Income Statement (Results)'!AA38</f>
        <v>20740978.037465952</v>
      </c>
      <c r="AC25" s="168">
        <f>'Income Statement (Results)'!AB38</f>
        <v>16242503.102031019</v>
      </c>
      <c r="AD25" s="168">
        <f>'Income Statement (Results)'!AC38</f>
        <v>11857437.625075638</v>
      </c>
      <c r="AE25" s="168">
        <f>'Income Statement (Results)'!AD38</f>
        <v>7606937.55207837</v>
      </c>
      <c r="AF25" s="168">
        <f>'Income Statement (Results)'!AE38</f>
        <v>3495039.8451579507</v>
      </c>
      <c r="AG25" s="168">
        <f>'Income Statement (Results)'!AF38</f>
        <v>129311.45909407327</v>
      </c>
      <c r="AH25" s="168">
        <f>'Income Statement (Results)'!AG38</f>
        <v>90998.276697357884</v>
      </c>
      <c r="AI25" s="168">
        <f>'Income Statement (Results)'!AH38</f>
        <v>59296.506864788404</v>
      </c>
      <c r="AJ25" s="168">
        <f>'Income Statement (Results)'!AI38</f>
        <v>29128.873310651295</v>
      </c>
      <c r="AK25" s="168">
        <f>'Income Statement (Results)'!AJ38</f>
        <v>4.2408063018228869E-9</v>
      </c>
      <c r="AL25" s="168">
        <f>'Income Statement (Results)'!AK38</f>
        <v>4.2408063018228869E-9</v>
      </c>
      <c r="AM25" s="168">
        <f>'Income Statement (Results)'!AL38</f>
        <v>4.2408063018228869E-9</v>
      </c>
      <c r="AN25" s="168">
        <f>'Income Statement (Results)'!AM38</f>
        <v>4.2408063018228869E-9</v>
      </c>
      <c r="AO25" s="168">
        <f>'Income Statement (Results)'!AN38</f>
        <v>4.2408063018228869E-9</v>
      </c>
      <c r="AP25" s="168">
        <f>'Income Statement (Results)'!AO38</f>
        <v>4.2408063018228869E-9</v>
      </c>
      <c r="AQ25" s="168">
        <f>'Income Statement (Results)'!AP38</f>
        <v>4.2408063018228869E-9</v>
      </c>
      <c r="AR25" s="168">
        <f>'Income Statement (Results)'!AQ38</f>
        <v>4.2408063018228869E-9</v>
      </c>
      <c r="AS25" s="168">
        <f>'Income Statement (Results)'!AR38</f>
        <v>4.2408063018228869E-9</v>
      </c>
      <c r="AT25" s="168">
        <f>'Income Statement (Results)'!AS38</f>
        <v>4.2408063018228869E-9</v>
      </c>
      <c r="AU25" s="168">
        <f>'Income Statement (Results)'!AT38</f>
        <v>4.2408063018228869E-9</v>
      </c>
      <c r="AV25" s="168">
        <f>'Income Statement (Results)'!AU38</f>
        <v>4.2408063018228869E-9</v>
      </c>
      <c r="AW25" s="168">
        <f>'Income Statement (Results)'!AV38</f>
        <v>4.2408063018228869E-9</v>
      </c>
      <c r="AX25" s="168">
        <f>'Income Statement (Results)'!AW38</f>
        <v>4.2408063018228869E-9</v>
      </c>
      <c r="AY25" s="168">
        <f>'Income Statement (Results)'!AX38</f>
        <v>4.2408063018228869E-9</v>
      </c>
      <c r="AZ25" s="168">
        <f>'Income Statement (Results)'!AY38</f>
        <v>4.2408063018228869E-9</v>
      </c>
      <c r="BA25" s="168">
        <f>'Income Statement (Results)'!AZ38</f>
        <v>4.2408063018228869E-9</v>
      </c>
      <c r="BB25" s="168">
        <f>'Income Statement (Results)'!BA38</f>
        <v>4.2408063018228869E-9</v>
      </c>
      <c r="BC25" s="168">
        <f>'Income Statement (Results)'!BB38</f>
        <v>4.2408063018228869E-9</v>
      </c>
      <c r="BD25" s="168">
        <f>'Income Statement (Results)'!BC38</f>
        <v>4.2408063018228869E-9</v>
      </c>
      <c r="BE25" s="133" t="s">
        <v>146</v>
      </c>
    </row>
    <row r="26" spans="1:57">
      <c r="C26" s="164"/>
      <c r="BE26" s="133" t="s">
        <v>146</v>
      </c>
    </row>
    <row r="27" spans="1:57">
      <c r="B27" s="132" t="s">
        <v>104</v>
      </c>
      <c r="C27" s="167">
        <f>(NPV(After_Tax_Cash_Discount,'Results Calculation'!E27:AQ27)+'Results Calculation'!D27)/(1+After_Tax_Cash_Discount)^0.5</f>
        <v>-71864714.477054417</v>
      </c>
      <c r="D27" s="168">
        <f>'Cash Flow Statement (Results)'!C32</f>
        <v>-19486692.719542965</v>
      </c>
      <c r="E27" s="168">
        <f>'Cash Flow Statement (Results)'!D32</f>
        <v>-27321952.474146903</v>
      </c>
      <c r="F27" s="168">
        <f>'Cash Flow Statement (Results)'!E32</f>
        <v>-69154942.30879131</v>
      </c>
      <c r="G27" s="168">
        <f>'Cash Flow Statement (Results)'!F32</f>
        <v>-48175810.949427977</v>
      </c>
      <c r="H27" s="168">
        <f>'Cash Flow Statement (Results)'!G32</f>
        <v>-47743475.16563119</v>
      </c>
      <c r="I27" s="168">
        <f>'Cash Flow Statement (Results)'!H32</f>
        <v>-46402532.438450694</v>
      </c>
      <c r="J27" s="168">
        <f>'Cash Flow Statement (Results)'!I32</f>
        <v>-44644912.82907901</v>
      </c>
      <c r="K27" s="168">
        <f>'Cash Flow Statement (Results)'!J32</f>
        <v>-31533814.230110414</v>
      </c>
      <c r="L27" s="168">
        <f>'Cash Flow Statement (Results)'!K32</f>
        <v>31433688.87596022</v>
      </c>
      <c r="M27" s="168">
        <f>'Cash Flow Statement (Results)'!L32</f>
        <v>32062084.923352208</v>
      </c>
      <c r="N27" s="168">
        <f>'Cash Flow Statement (Results)'!M32</f>
        <v>31763079.006044216</v>
      </c>
      <c r="O27" s="168">
        <f>'Cash Flow Statement (Results)'!N32</f>
        <v>31592792.363494307</v>
      </c>
      <c r="P27" s="168">
        <f>'Cash Flow Statement (Results)'!O32</f>
        <v>32467562.170062475</v>
      </c>
      <c r="Q27" s="168">
        <f>'Cash Flow Statement (Results)'!P32</f>
        <v>32975688.078748733</v>
      </c>
      <c r="R27" s="168">
        <f>'Cash Flow Statement (Results)'!Q32</f>
        <v>33679127.631703332</v>
      </c>
      <c r="S27" s="168">
        <f>'Cash Flow Statement (Results)'!R32</f>
        <v>34407133.849567674</v>
      </c>
      <c r="T27" s="168">
        <f>'Cash Flow Statement (Results)'!S32</f>
        <v>35790833.053776845</v>
      </c>
      <c r="U27" s="168">
        <f>'Cash Flow Statement (Results)'!T32</f>
        <v>36920260.413861908</v>
      </c>
      <c r="V27" s="168">
        <f>'Cash Flow Statement (Results)'!U32</f>
        <v>37190645.508307189</v>
      </c>
      <c r="W27" s="168">
        <f>'Cash Flow Statement (Results)'!V32</f>
        <v>37464187.784184188</v>
      </c>
      <c r="X27" s="168">
        <f>'Cash Flow Statement (Results)'!W32</f>
        <v>37717844.128249295</v>
      </c>
      <c r="Y27" s="168">
        <f>'Cash Flow Statement (Results)'!X32</f>
        <v>37980440.665490493</v>
      </c>
      <c r="Z27" s="168">
        <f>'Cash Flow Statement (Results)'!Y32</f>
        <v>6465.028229445219</v>
      </c>
      <c r="AA27" s="168">
        <f>'Cash Flow Statement (Results)'!Z32</f>
        <v>0</v>
      </c>
      <c r="AB27" s="168">
        <f>'Cash Flow Statement (Results)'!AA32</f>
        <v>0</v>
      </c>
      <c r="AC27" s="168">
        <f>'Cash Flow Statement (Results)'!AB32</f>
        <v>0</v>
      </c>
      <c r="AD27" s="168">
        <f>'Cash Flow Statement (Results)'!AC32</f>
        <v>0</v>
      </c>
      <c r="AE27" s="168">
        <f>'Cash Flow Statement (Results)'!AD32</f>
        <v>0</v>
      </c>
      <c r="AF27" s="168">
        <f>'Cash Flow Statement (Results)'!AE32</f>
        <v>0</v>
      </c>
      <c r="AG27" s="168">
        <f>'Cash Flow Statement (Results)'!AF32</f>
        <v>0</v>
      </c>
      <c r="AH27" s="168">
        <f>'Cash Flow Statement (Results)'!AG32</f>
        <v>0</v>
      </c>
      <c r="AI27" s="168">
        <f>'Cash Flow Statement (Results)'!AH32</f>
        <v>0</v>
      </c>
      <c r="AJ27" s="168">
        <f>'Cash Flow Statement (Results)'!AI32</f>
        <v>0</v>
      </c>
      <c r="AK27" s="168">
        <f>'Cash Flow Statement (Results)'!AJ32</f>
        <v>0</v>
      </c>
      <c r="AL27" s="168">
        <f>'Cash Flow Statement (Results)'!AK32</f>
        <v>0</v>
      </c>
      <c r="AM27" s="168">
        <f>'Cash Flow Statement (Results)'!AL32</f>
        <v>0</v>
      </c>
      <c r="AN27" s="168">
        <f>'Cash Flow Statement (Results)'!AM32</f>
        <v>0</v>
      </c>
      <c r="AO27" s="168">
        <f>'Cash Flow Statement (Results)'!AN32</f>
        <v>0</v>
      </c>
      <c r="AP27" s="168">
        <f>'Cash Flow Statement (Results)'!AO32</f>
        <v>0</v>
      </c>
      <c r="AQ27" s="168">
        <f>'Cash Flow Statement (Results)'!AP32</f>
        <v>0</v>
      </c>
      <c r="AR27" s="168">
        <f>'Cash Flow Statement (Results)'!AQ32</f>
        <v>0</v>
      </c>
      <c r="AS27" s="168">
        <f>'Cash Flow Statement (Results)'!AR32</f>
        <v>0</v>
      </c>
      <c r="AT27" s="168">
        <f>'Cash Flow Statement (Results)'!AS32</f>
        <v>0</v>
      </c>
      <c r="AU27" s="168">
        <f>'Cash Flow Statement (Results)'!AT32</f>
        <v>0</v>
      </c>
      <c r="AV27" s="168">
        <f>'Cash Flow Statement (Results)'!AU32</f>
        <v>0</v>
      </c>
      <c r="AW27" s="168">
        <f>'Cash Flow Statement (Results)'!AV32</f>
        <v>0</v>
      </c>
      <c r="AX27" s="168">
        <f>'Cash Flow Statement (Results)'!AW32</f>
        <v>0</v>
      </c>
      <c r="AY27" s="168">
        <f>'Cash Flow Statement (Results)'!AX32</f>
        <v>0</v>
      </c>
      <c r="AZ27" s="168">
        <f>'Cash Flow Statement (Results)'!AY32</f>
        <v>0</v>
      </c>
      <c r="BA27" s="168">
        <f>'Cash Flow Statement (Results)'!AZ32</f>
        <v>0</v>
      </c>
      <c r="BB27" s="168">
        <f>'Cash Flow Statement (Results)'!BA32</f>
        <v>0</v>
      </c>
      <c r="BC27" s="168">
        <f>'Cash Flow Statement (Results)'!BB32</f>
        <v>0</v>
      </c>
      <c r="BD27" s="168">
        <f>'Cash Flow Statement (Results)'!BC32</f>
        <v>0</v>
      </c>
      <c r="BE27" s="133" t="s">
        <v>146</v>
      </c>
    </row>
    <row r="28" spans="1:57">
      <c r="C28" s="164"/>
      <c r="BE28" s="133" t="s">
        <v>146</v>
      </c>
    </row>
    <row r="29" spans="1:57" s="181" customFormat="1">
      <c r="A29" s="179"/>
      <c r="B29" s="174" t="s">
        <v>97</v>
      </c>
      <c r="C29" s="180">
        <v>0</v>
      </c>
      <c r="E29" s="181">
        <v>100</v>
      </c>
      <c r="F29" s="181">
        <v>100</v>
      </c>
      <c r="G29" s="181">
        <v>100</v>
      </c>
      <c r="H29" s="181">
        <v>100</v>
      </c>
      <c r="I29" s="181">
        <v>100</v>
      </c>
      <c r="J29" s="181">
        <v>100</v>
      </c>
      <c r="K29" s="181">
        <v>100</v>
      </c>
      <c r="L29" s="181">
        <v>100</v>
      </c>
      <c r="M29" s="181">
        <v>100</v>
      </c>
      <c r="N29" s="181">
        <v>100</v>
      </c>
      <c r="O29" s="181">
        <v>100</v>
      </c>
      <c r="P29" s="181">
        <v>100</v>
      </c>
      <c r="Q29" s="181">
        <v>100</v>
      </c>
      <c r="R29" s="181">
        <v>100</v>
      </c>
      <c r="S29" s="181">
        <v>100</v>
      </c>
      <c r="T29" s="181">
        <v>100</v>
      </c>
      <c r="U29" s="181">
        <v>100</v>
      </c>
      <c r="V29" s="181">
        <v>100</v>
      </c>
      <c r="W29" s="181">
        <v>100</v>
      </c>
      <c r="X29" s="181">
        <v>100</v>
      </c>
      <c r="Y29" s="181">
        <v>100</v>
      </c>
      <c r="Z29" s="181">
        <v>100</v>
      </c>
      <c r="AA29" s="181">
        <v>100</v>
      </c>
      <c r="AB29" s="181">
        <v>100</v>
      </c>
      <c r="AC29" s="181">
        <v>100</v>
      </c>
      <c r="AD29" s="181">
        <v>100</v>
      </c>
      <c r="AE29" s="181">
        <v>100</v>
      </c>
      <c r="AF29" s="181">
        <v>100</v>
      </c>
      <c r="AG29" s="181">
        <v>100</v>
      </c>
      <c r="AH29" s="181">
        <v>100</v>
      </c>
      <c r="AI29" s="181">
        <v>100</v>
      </c>
      <c r="AJ29" s="181">
        <v>100</v>
      </c>
      <c r="BE29" s="181" t="s">
        <v>146</v>
      </c>
    </row>
    <row r="30" spans="1:57">
      <c r="C30" s="164"/>
      <c r="BE30" s="133" t="s">
        <v>146</v>
      </c>
    </row>
    <row r="31" spans="1:57">
      <c r="B31" s="132" t="s">
        <v>98</v>
      </c>
      <c r="C31" s="182">
        <f>IFERROR(C6/C29,0)</f>
        <v>0</v>
      </c>
      <c r="BE31" s="133" t="s">
        <v>146</v>
      </c>
    </row>
    <row r="32" spans="1:57">
      <c r="C32" s="164"/>
      <c r="BE32" s="133" t="s">
        <v>146</v>
      </c>
    </row>
    <row r="33" spans="2:57">
      <c r="C33" s="164"/>
      <c r="BE33" s="133" t="s">
        <v>146</v>
      </c>
    </row>
    <row r="34" spans="2:57">
      <c r="C34" s="164"/>
      <c r="BE34" s="133" t="s">
        <v>146</v>
      </c>
    </row>
    <row r="35" spans="2:57">
      <c r="B35" s="161" t="s">
        <v>113</v>
      </c>
      <c r="C35" s="164"/>
      <c r="D35" s="183"/>
      <c r="BE35" s="133" t="s">
        <v>146</v>
      </c>
    </row>
    <row r="36" spans="2:57">
      <c r="C36" s="164"/>
      <c r="BE36" s="133" t="s">
        <v>146</v>
      </c>
    </row>
    <row r="37" spans="2:57">
      <c r="B37" s="132" t="s">
        <v>106</v>
      </c>
      <c r="C37" s="164"/>
      <c r="D37" s="173">
        <f>D6</f>
        <v>-494884.6152455663</v>
      </c>
      <c r="E37" s="173">
        <f>E6</f>
        <v>-5775517.0228235573</v>
      </c>
      <c r="F37" s="173">
        <f t="shared" ref="F37:AQ37" si="18">F6</f>
        <v>-2990464.9761160687</v>
      </c>
      <c r="G37" s="173">
        <f t="shared" si="18"/>
        <v>-2256855.4001743235</v>
      </c>
      <c r="H37" s="173">
        <f t="shared" si="18"/>
        <v>11256010.364410086</v>
      </c>
      <c r="I37" s="173">
        <f t="shared" si="18"/>
        <v>19726436.282865431</v>
      </c>
      <c r="J37" s="173">
        <f t="shared" si="18"/>
        <v>26613429.057260457</v>
      </c>
      <c r="K37" s="173">
        <f t="shared" si="18"/>
        <v>33162926.995948747</v>
      </c>
      <c r="L37" s="173">
        <f t="shared" si="18"/>
        <v>38583713.922234878</v>
      </c>
      <c r="M37" s="173">
        <f t="shared" si="18"/>
        <v>39272307.661486953</v>
      </c>
      <c r="N37" s="173">
        <f t="shared" si="18"/>
        <v>31832015.043654937</v>
      </c>
      <c r="O37" s="173">
        <f t="shared" si="18"/>
        <v>25436008.326912772</v>
      </c>
      <c r="P37" s="173">
        <f t="shared" si="18"/>
        <v>18943055.770521153</v>
      </c>
      <c r="Q37" s="173">
        <f t="shared" si="18"/>
        <v>12143128.605807418</v>
      </c>
      <c r="R37" s="173">
        <f t="shared" si="18"/>
        <v>5249123.0139070218</v>
      </c>
      <c r="S37" s="173">
        <f t="shared" si="18"/>
        <v>-965890.28851602774</v>
      </c>
      <c r="T37" s="173">
        <f t="shared" si="18"/>
        <v>-8135105.0780737987</v>
      </c>
      <c r="U37" s="173">
        <f t="shared" si="18"/>
        <v>-14785725.75570545</v>
      </c>
      <c r="V37" s="173">
        <f t="shared" si="18"/>
        <v>-19719022.553153954</v>
      </c>
      <c r="W37" s="173">
        <f t="shared" si="18"/>
        <v>-23149152.020228747</v>
      </c>
      <c r="X37" s="173">
        <f t="shared" si="18"/>
        <v>-25315010.885427047</v>
      </c>
      <c r="Y37" s="173">
        <f t="shared" si="18"/>
        <v>-27492264.484544296</v>
      </c>
      <c r="Z37" s="173">
        <f t="shared" si="18"/>
        <v>30862028.297262274</v>
      </c>
      <c r="AA37" s="173">
        <f t="shared" si="18"/>
        <v>27441056.732487187</v>
      </c>
      <c r="AB37" s="173">
        <f t="shared" si="18"/>
        <v>21722850.898058183</v>
      </c>
      <c r="AC37" s="173">
        <f t="shared" si="18"/>
        <v>17011419.2522319</v>
      </c>
      <c r="AD37" s="173">
        <f t="shared" si="18"/>
        <v>12418765.841093043</v>
      </c>
      <c r="AE37" s="173">
        <f t="shared" si="18"/>
        <v>7967048.1274385937</v>
      </c>
      <c r="AF37" s="173">
        <f t="shared" si="18"/>
        <v>3660494.1821930772</v>
      </c>
      <c r="AG37" s="173">
        <f t="shared" si="18"/>
        <v>135433.03214712325</v>
      </c>
      <c r="AH37" s="173">
        <f t="shared" si="18"/>
        <v>95306.113005192587</v>
      </c>
      <c r="AI37" s="173">
        <f t="shared" si="18"/>
        <v>62103.589091734815</v>
      </c>
      <c r="AJ37" s="173">
        <f t="shared" si="18"/>
        <v>30507.827095361645</v>
      </c>
      <c r="AK37" s="173">
        <f t="shared" si="18"/>
        <v>4.4415650417080922E-9</v>
      </c>
      <c r="AL37" s="173">
        <f t="shared" si="18"/>
        <v>4.4415650417080922E-9</v>
      </c>
      <c r="AM37" s="173">
        <f t="shared" si="18"/>
        <v>4.4415650417080922E-9</v>
      </c>
      <c r="AN37" s="173">
        <f t="shared" si="18"/>
        <v>4.4415650417080922E-9</v>
      </c>
      <c r="AO37" s="173">
        <f t="shared" si="18"/>
        <v>4.4415650417080922E-9</v>
      </c>
      <c r="AP37" s="173">
        <f t="shared" si="18"/>
        <v>4.4415650417080922E-9</v>
      </c>
      <c r="AQ37" s="173">
        <f t="shared" si="18"/>
        <v>4.4415650417080922E-9</v>
      </c>
      <c r="AR37" s="173">
        <f t="shared" ref="AR37:BC37" si="19">AR6</f>
        <v>4.4415650417080922E-9</v>
      </c>
      <c r="AS37" s="173">
        <f t="shared" si="19"/>
        <v>4.4415650417080922E-9</v>
      </c>
      <c r="AT37" s="173">
        <f t="shared" si="19"/>
        <v>4.4415650417080922E-9</v>
      </c>
      <c r="AU37" s="173">
        <f t="shared" si="19"/>
        <v>4.4415650417080922E-9</v>
      </c>
      <c r="AV37" s="173">
        <f t="shared" si="19"/>
        <v>4.4415650417080922E-9</v>
      </c>
      <c r="AW37" s="173">
        <f t="shared" si="19"/>
        <v>4.4415650417080922E-9</v>
      </c>
      <c r="AX37" s="173">
        <f t="shared" si="19"/>
        <v>4.4415650417080922E-9</v>
      </c>
      <c r="AY37" s="173">
        <f t="shared" si="19"/>
        <v>4.4415650417080922E-9</v>
      </c>
      <c r="AZ37" s="173">
        <f t="shared" si="19"/>
        <v>4.4415650417080922E-9</v>
      </c>
      <c r="BA37" s="173">
        <f t="shared" si="19"/>
        <v>4.4415650417080922E-9</v>
      </c>
      <c r="BB37" s="173">
        <f t="shared" si="19"/>
        <v>4.4415650417080922E-9</v>
      </c>
      <c r="BC37" s="173">
        <f t="shared" si="19"/>
        <v>4.4415650417080922E-9</v>
      </c>
      <c r="BD37" s="173">
        <f t="shared" ref="BD37" si="20">BD6</f>
        <v>4.4415650417080922E-9</v>
      </c>
      <c r="BE37" s="133" t="s">
        <v>146</v>
      </c>
    </row>
    <row r="38" spans="2:57">
      <c r="B38" s="132" t="s">
        <v>3</v>
      </c>
      <c r="C38" s="164"/>
      <c r="D38" s="184">
        <f t="shared" ref="D38:AQ38" si="21">-D37*Revenue_Taxes</f>
        <v>22368.784609099595</v>
      </c>
      <c r="E38" s="184">
        <f t="shared" si="21"/>
        <v>261053.36943162477</v>
      </c>
      <c r="F38" s="184">
        <f t="shared" si="21"/>
        <v>135169.0169204463</v>
      </c>
      <c r="G38" s="184">
        <f t="shared" si="21"/>
        <v>102009.86408787941</v>
      </c>
      <c r="H38" s="184">
        <f t="shared" si="21"/>
        <v>-508771.66847133584</v>
      </c>
      <c r="I38" s="184">
        <f t="shared" si="21"/>
        <v>-891634.91998551739</v>
      </c>
      <c r="J38" s="184">
        <f t="shared" si="21"/>
        <v>-1202926.9933881727</v>
      </c>
      <c r="K38" s="184">
        <f t="shared" si="21"/>
        <v>-1498964.3002168832</v>
      </c>
      <c r="L38" s="184">
        <f t="shared" si="21"/>
        <v>-1743983.8692850163</v>
      </c>
      <c r="M38" s="184">
        <f t="shared" si="21"/>
        <v>-1775108.3062992103</v>
      </c>
      <c r="N38" s="184">
        <f t="shared" si="21"/>
        <v>-1438807.0799732031</v>
      </c>
      <c r="O38" s="184">
        <f t="shared" si="21"/>
        <v>-1149707.5763764572</v>
      </c>
      <c r="P38" s="184">
        <f t="shared" si="21"/>
        <v>-856226.12082755601</v>
      </c>
      <c r="Q38" s="184">
        <f t="shared" si="21"/>
        <v>-548869.41298249527</v>
      </c>
      <c r="R38" s="184">
        <f t="shared" si="21"/>
        <v>-237260.36022859736</v>
      </c>
      <c r="S38" s="184">
        <f t="shared" si="21"/>
        <v>43658.241040924448</v>
      </c>
      <c r="T38" s="184">
        <f t="shared" si="21"/>
        <v>367706.7495289357</v>
      </c>
      <c r="U38" s="184">
        <f t="shared" si="21"/>
        <v>668314.8041578863</v>
      </c>
      <c r="V38" s="184">
        <f t="shared" si="21"/>
        <v>891299.81940255873</v>
      </c>
      <c r="W38" s="184">
        <f t="shared" si="21"/>
        <v>1046341.6713143393</v>
      </c>
      <c r="X38" s="184">
        <f t="shared" si="21"/>
        <v>1144238.4920213025</v>
      </c>
      <c r="Y38" s="184">
        <f t="shared" si="21"/>
        <v>1242650.3547014021</v>
      </c>
      <c r="Z38" s="184">
        <f t="shared" si="21"/>
        <v>-1394963.6790362548</v>
      </c>
      <c r="AA38" s="184">
        <f t="shared" si="21"/>
        <v>-1240335.7643084207</v>
      </c>
      <c r="AB38" s="184">
        <f t="shared" si="21"/>
        <v>-981872.86059222987</v>
      </c>
      <c r="AC38" s="184">
        <f t="shared" si="21"/>
        <v>-768916.15020088176</v>
      </c>
      <c r="AD38" s="184">
        <f t="shared" si="21"/>
        <v>-561328.2160174055</v>
      </c>
      <c r="AE38" s="184">
        <f t="shared" si="21"/>
        <v>-360110.57536022441</v>
      </c>
      <c r="AF38" s="184">
        <f t="shared" si="21"/>
        <v>-165454.33703512707</v>
      </c>
      <c r="AG38" s="184">
        <f t="shared" si="21"/>
        <v>-6121.5730530499704</v>
      </c>
      <c r="AH38" s="184">
        <f t="shared" si="21"/>
        <v>-4307.8363078347047</v>
      </c>
      <c r="AI38" s="184">
        <f t="shared" si="21"/>
        <v>-2807.0822269464134</v>
      </c>
      <c r="AJ38" s="184">
        <f t="shared" si="21"/>
        <v>-1378.9537847103463</v>
      </c>
      <c r="AK38" s="184">
        <f t="shared" si="21"/>
        <v>-2.0075873988520575E-10</v>
      </c>
      <c r="AL38" s="184">
        <f t="shared" si="21"/>
        <v>-2.0075873988520575E-10</v>
      </c>
      <c r="AM38" s="184">
        <f t="shared" si="21"/>
        <v>-2.0075873988520575E-10</v>
      </c>
      <c r="AN38" s="184">
        <f t="shared" si="21"/>
        <v>-2.0075873988520575E-10</v>
      </c>
      <c r="AO38" s="184">
        <f t="shared" si="21"/>
        <v>-2.0075873988520575E-10</v>
      </c>
      <c r="AP38" s="184">
        <f t="shared" si="21"/>
        <v>-2.0075873988520575E-10</v>
      </c>
      <c r="AQ38" s="184">
        <f t="shared" si="21"/>
        <v>-2.0075873988520575E-10</v>
      </c>
      <c r="AR38" s="184">
        <f t="shared" ref="AR38:BC38" si="22">-AR37*Revenue_Taxes</f>
        <v>-2.0075873988520575E-10</v>
      </c>
      <c r="AS38" s="184">
        <f t="shared" si="22"/>
        <v>-2.0075873988520575E-10</v>
      </c>
      <c r="AT38" s="184">
        <f t="shared" si="22"/>
        <v>-2.0075873988520575E-10</v>
      </c>
      <c r="AU38" s="184">
        <f t="shared" si="22"/>
        <v>-2.0075873988520575E-10</v>
      </c>
      <c r="AV38" s="184">
        <f t="shared" si="22"/>
        <v>-2.0075873988520575E-10</v>
      </c>
      <c r="AW38" s="184">
        <f t="shared" si="22"/>
        <v>-2.0075873988520575E-10</v>
      </c>
      <c r="AX38" s="184">
        <f t="shared" si="22"/>
        <v>-2.0075873988520575E-10</v>
      </c>
      <c r="AY38" s="184">
        <f t="shared" si="22"/>
        <v>-2.0075873988520575E-10</v>
      </c>
      <c r="AZ38" s="184">
        <f t="shared" si="22"/>
        <v>-2.0075873988520575E-10</v>
      </c>
      <c r="BA38" s="184">
        <f t="shared" si="22"/>
        <v>-2.0075873988520575E-10</v>
      </c>
      <c r="BB38" s="184">
        <f t="shared" si="22"/>
        <v>-2.0075873988520575E-10</v>
      </c>
      <c r="BC38" s="184">
        <f t="shared" si="22"/>
        <v>-2.0075873988520575E-10</v>
      </c>
      <c r="BD38" s="184">
        <f t="shared" ref="BD38" si="23">-BD37*Revenue_Taxes</f>
        <v>-2.0075873988520575E-10</v>
      </c>
      <c r="BE38" s="133" t="s">
        <v>146</v>
      </c>
    </row>
    <row r="39" spans="2:57">
      <c r="B39" s="132" t="s">
        <v>105</v>
      </c>
      <c r="C39" s="185"/>
      <c r="D39" s="184">
        <f t="shared" ref="D39:AQ39" si="24">-SUM(D37:D38)*FIT_Tax_Rate</f>
        <v>165380.54072276334</v>
      </c>
      <c r="E39" s="184">
        <f t="shared" si="24"/>
        <v>1930062.2786871761</v>
      </c>
      <c r="F39" s="184">
        <f t="shared" si="24"/>
        <v>999353.58571846772</v>
      </c>
      <c r="G39" s="184">
        <f t="shared" si="24"/>
        <v>754195.93763025547</v>
      </c>
      <c r="H39" s="184">
        <f t="shared" si="24"/>
        <v>-3761533.5435785619</v>
      </c>
      <c r="I39" s="184">
        <f t="shared" si="24"/>
        <v>-6592180.4770079693</v>
      </c>
      <c r="J39" s="184">
        <f t="shared" si="24"/>
        <v>-8893675.7223552987</v>
      </c>
      <c r="K39" s="184">
        <f t="shared" si="24"/>
        <v>-11082386.943506151</v>
      </c>
      <c r="L39" s="184">
        <f t="shared" si="24"/>
        <v>-12893905.518532451</v>
      </c>
      <c r="M39" s="184">
        <f t="shared" si="24"/>
        <v>-13124019.774315709</v>
      </c>
      <c r="N39" s="184">
        <f t="shared" si="24"/>
        <v>-10637622.787288606</v>
      </c>
      <c r="O39" s="184">
        <f t="shared" si="24"/>
        <v>-8500205.2626877092</v>
      </c>
      <c r="P39" s="184">
        <f t="shared" si="24"/>
        <v>-6330390.3773927586</v>
      </c>
      <c r="Q39" s="184">
        <f t="shared" si="24"/>
        <v>-4057990.7174887224</v>
      </c>
      <c r="R39" s="184">
        <f t="shared" si="24"/>
        <v>-1754151.9287874484</v>
      </c>
      <c r="S39" s="184">
        <f t="shared" si="24"/>
        <v>322781.21661628614</v>
      </c>
      <c r="T39" s="184">
        <f t="shared" si="24"/>
        <v>2718589.4149907017</v>
      </c>
      <c r="U39" s="184">
        <f t="shared" si="24"/>
        <v>4941093.8330416465</v>
      </c>
      <c r="V39" s="184">
        <f t="shared" si="24"/>
        <v>6589702.9568129871</v>
      </c>
      <c r="W39" s="184">
        <f t="shared" si="24"/>
        <v>7735983.6221200423</v>
      </c>
      <c r="X39" s="184">
        <f t="shared" si="24"/>
        <v>8459770.3376920093</v>
      </c>
      <c r="Y39" s="184">
        <f t="shared" si="24"/>
        <v>9187364.9454450123</v>
      </c>
      <c r="Z39" s="184">
        <f t="shared" si="24"/>
        <v>-10313472.616379106</v>
      </c>
      <c r="AA39" s="184">
        <f t="shared" si="24"/>
        <v>-9170252.3388625681</v>
      </c>
      <c r="AB39" s="184">
        <f t="shared" si="24"/>
        <v>-7259342.3131130831</v>
      </c>
      <c r="AC39" s="184">
        <f t="shared" si="24"/>
        <v>-5684876.0857108561</v>
      </c>
      <c r="AD39" s="184">
        <f t="shared" si="24"/>
        <v>-4150103.168776473</v>
      </c>
      <c r="AE39" s="184">
        <f t="shared" si="24"/>
        <v>-2662428.1432274291</v>
      </c>
      <c r="AF39" s="184">
        <f t="shared" si="24"/>
        <v>-1223263.9458052826</v>
      </c>
      <c r="AG39" s="184">
        <f t="shared" si="24"/>
        <v>-45259.01068292564</v>
      </c>
      <c r="AH39" s="184">
        <f t="shared" si="24"/>
        <v>-31849.396844075258</v>
      </c>
      <c r="AI39" s="184">
        <f t="shared" si="24"/>
        <v>-20753.77740267594</v>
      </c>
      <c r="AJ39" s="184">
        <f t="shared" si="24"/>
        <v>-10195.105658727955</v>
      </c>
      <c r="AK39" s="184">
        <f t="shared" si="24"/>
        <v>-1.4842822056380104E-9</v>
      </c>
      <c r="AL39" s="184">
        <f t="shared" si="24"/>
        <v>-1.4842822056380104E-9</v>
      </c>
      <c r="AM39" s="184">
        <f t="shared" si="24"/>
        <v>-1.4842822056380104E-9</v>
      </c>
      <c r="AN39" s="184">
        <f t="shared" si="24"/>
        <v>-1.4842822056380104E-9</v>
      </c>
      <c r="AO39" s="184">
        <f t="shared" si="24"/>
        <v>-1.4842822056380104E-9</v>
      </c>
      <c r="AP39" s="184">
        <f t="shared" si="24"/>
        <v>-1.4842822056380104E-9</v>
      </c>
      <c r="AQ39" s="184">
        <f t="shared" si="24"/>
        <v>-1.4842822056380104E-9</v>
      </c>
      <c r="AR39" s="184">
        <f t="shared" ref="AR39:BC39" si="25">-SUM(AR37:AR38)*FIT_Tax_Rate</f>
        <v>-1.4842822056380104E-9</v>
      </c>
      <c r="AS39" s="184">
        <f t="shared" si="25"/>
        <v>-1.4842822056380104E-9</v>
      </c>
      <c r="AT39" s="184">
        <f t="shared" si="25"/>
        <v>-1.4842822056380104E-9</v>
      </c>
      <c r="AU39" s="184">
        <f t="shared" si="25"/>
        <v>-1.4842822056380104E-9</v>
      </c>
      <c r="AV39" s="184">
        <f t="shared" si="25"/>
        <v>-1.4842822056380104E-9</v>
      </c>
      <c r="AW39" s="184">
        <f t="shared" si="25"/>
        <v>-1.4842822056380104E-9</v>
      </c>
      <c r="AX39" s="184">
        <f t="shared" si="25"/>
        <v>-1.4842822056380104E-9</v>
      </c>
      <c r="AY39" s="184">
        <f t="shared" si="25"/>
        <v>-1.4842822056380104E-9</v>
      </c>
      <c r="AZ39" s="184">
        <f t="shared" si="25"/>
        <v>-1.4842822056380104E-9</v>
      </c>
      <c r="BA39" s="184">
        <f t="shared" si="25"/>
        <v>-1.4842822056380104E-9</v>
      </c>
      <c r="BB39" s="184">
        <f t="shared" si="25"/>
        <v>-1.4842822056380104E-9</v>
      </c>
      <c r="BC39" s="184">
        <f t="shared" si="25"/>
        <v>-1.4842822056380104E-9</v>
      </c>
      <c r="BD39" s="184">
        <f t="shared" ref="BD39" si="26">-SUM(BD37:BD38)*FIT_Tax_Rate</f>
        <v>-1.4842822056380104E-9</v>
      </c>
      <c r="BE39" s="133" t="s">
        <v>146</v>
      </c>
    </row>
    <row r="40" spans="2:57">
      <c r="B40" s="132" t="s">
        <v>107</v>
      </c>
      <c r="C40" s="164"/>
      <c r="D40" s="186">
        <f>SUM(D37:D39)</f>
        <v>-307135.28991370334</v>
      </c>
      <c r="E40" s="186">
        <f>SUM(E37:E39)</f>
        <v>-3584401.3747047558</v>
      </c>
      <c r="F40" s="186">
        <f t="shared" ref="F40:AQ40" si="27">SUM(F37:F39)</f>
        <v>-1855942.3734771544</v>
      </c>
      <c r="G40" s="186">
        <f t="shared" si="27"/>
        <v>-1400649.5984561888</v>
      </c>
      <c r="H40" s="186">
        <f t="shared" si="27"/>
        <v>6985705.1523601878</v>
      </c>
      <c r="I40" s="186">
        <f t="shared" si="27"/>
        <v>12242620.885871943</v>
      </c>
      <c r="J40" s="186">
        <f t="shared" si="27"/>
        <v>16516826.341516986</v>
      </c>
      <c r="K40" s="186">
        <f t="shared" si="27"/>
        <v>20581575.752225712</v>
      </c>
      <c r="L40" s="186">
        <f t="shared" si="27"/>
        <v>23945824.534417409</v>
      </c>
      <c r="M40" s="186">
        <f t="shared" si="27"/>
        <v>24373179.580872037</v>
      </c>
      <c r="N40" s="186">
        <f t="shared" si="27"/>
        <v>19755585.176393129</v>
      </c>
      <c r="O40" s="186">
        <f t="shared" si="27"/>
        <v>15786095.487848606</v>
      </c>
      <c r="P40" s="186">
        <f t="shared" si="27"/>
        <v>11756439.272300839</v>
      </c>
      <c r="Q40" s="186">
        <f t="shared" si="27"/>
        <v>7536268.4753361996</v>
      </c>
      <c r="R40" s="186">
        <f t="shared" si="27"/>
        <v>3257710.7248909762</v>
      </c>
      <c r="S40" s="186">
        <f t="shared" si="27"/>
        <v>-599450.83085881709</v>
      </c>
      <c r="T40" s="186">
        <f t="shared" si="27"/>
        <v>-5048808.9135541609</v>
      </c>
      <c r="U40" s="186">
        <f t="shared" si="27"/>
        <v>-9176317.1185059175</v>
      </c>
      <c r="V40" s="186">
        <f t="shared" si="27"/>
        <v>-12238019.776938407</v>
      </c>
      <c r="W40" s="186">
        <f t="shared" si="27"/>
        <v>-14366826.726794366</v>
      </c>
      <c r="X40" s="186">
        <f t="shared" si="27"/>
        <v>-15711002.055713734</v>
      </c>
      <c r="Y40" s="186">
        <f t="shared" si="27"/>
        <v>-17062249.18439788</v>
      </c>
      <c r="Z40" s="186">
        <f t="shared" si="27"/>
        <v>19153592.00184691</v>
      </c>
      <c r="AA40" s="186">
        <f t="shared" si="27"/>
        <v>17030468.6293162</v>
      </c>
      <c r="AB40" s="186">
        <f t="shared" si="27"/>
        <v>13481635.72435287</v>
      </c>
      <c r="AC40" s="186">
        <f t="shared" si="27"/>
        <v>10557627.016320162</v>
      </c>
      <c r="AD40" s="186">
        <f t="shared" si="27"/>
        <v>7707334.4562991653</v>
      </c>
      <c r="AE40" s="186">
        <f t="shared" si="27"/>
        <v>4944509.4088509399</v>
      </c>
      <c r="AF40" s="186">
        <f t="shared" si="27"/>
        <v>2271775.8993526679</v>
      </c>
      <c r="AG40" s="186">
        <f t="shared" si="27"/>
        <v>84052.448411147634</v>
      </c>
      <c r="AH40" s="186">
        <f t="shared" si="27"/>
        <v>59148.879853282626</v>
      </c>
      <c r="AI40" s="186">
        <f t="shared" si="27"/>
        <v>38542.72946211246</v>
      </c>
      <c r="AJ40" s="186">
        <f t="shared" si="27"/>
        <v>18933.767651923343</v>
      </c>
      <c r="AK40" s="186">
        <f t="shared" si="27"/>
        <v>2.7565240961848767E-9</v>
      </c>
      <c r="AL40" s="186">
        <f t="shared" si="27"/>
        <v>2.7565240961848767E-9</v>
      </c>
      <c r="AM40" s="186">
        <f t="shared" si="27"/>
        <v>2.7565240961848767E-9</v>
      </c>
      <c r="AN40" s="186">
        <f t="shared" si="27"/>
        <v>2.7565240961848767E-9</v>
      </c>
      <c r="AO40" s="186">
        <f t="shared" si="27"/>
        <v>2.7565240961848767E-9</v>
      </c>
      <c r="AP40" s="186">
        <f t="shared" si="27"/>
        <v>2.7565240961848767E-9</v>
      </c>
      <c r="AQ40" s="186">
        <f t="shared" si="27"/>
        <v>2.7565240961848767E-9</v>
      </c>
      <c r="AR40" s="186">
        <f t="shared" ref="AR40:BC40" si="28">SUM(AR37:AR39)</f>
        <v>2.7565240961848767E-9</v>
      </c>
      <c r="AS40" s="186">
        <f t="shared" si="28"/>
        <v>2.7565240961848767E-9</v>
      </c>
      <c r="AT40" s="186">
        <f t="shared" si="28"/>
        <v>2.7565240961848767E-9</v>
      </c>
      <c r="AU40" s="186">
        <f t="shared" si="28"/>
        <v>2.7565240961848767E-9</v>
      </c>
      <c r="AV40" s="186">
        <f t="shared" si="28"/>
        <v>2.7565240961848767E-9</v>
      </c>
      <c r="AW40" s="186">
        <f t="shared" si="28"/>
        <v>2.7565240961848767E-9</v>
      </c>
      <c r="AX40" s="186">
        <f t="shared" si="28"/>
        <v>2.7565240961848767E-9</v>
      </c>
      <c r="AY40" s="186">
        <f t="shared" si="28"/>
        <v>2.7565240961848767E-9</v>
      </c>
      <c r="AZ40" s="186">
        <f t="shared" si="28"/>
        <v>2.7565240961848767E-9</v>
      </c>
      <c r="BA40" s="186">
        <f t="shared" si="28"/>
        <v>2.7565240961848767E-9</v>
      </c>
      <c r="BB40" s="186">
        <f t="shared" si="28"/>
        <v>2.7565240961848767E-9</v>
      </c>
      <c r="BC40" s="186">
        <f t="shared" si="28"/>
        <v>2.7565240961848767E-9</v>
      </c>
      <c r="BD40" s="186">
        <f t="shared" ref="BD40" si="29">SUM(BD37:BD39)</f>
        <v>2.7565240961848767E-9</v>
      </c>
      <c r="BE40" s="133" t="s">
        <v>146</v>
      </c>
    </row>
    <row r="41" spans="2:57">
      <c r="C41" s="164"/>
      <c r="BE41" s="133" t="s">
        <v>146</v>
      </c>
    </row>
    <row r="42" spans="2:57">
      <c r="B42" s="132" t="s">
        <v>108</v>
      </c>
      <c r="C42" s="172">
        <f>(NPV(After_Tax_Cash_Discount,'Results Calculation'!E42:AQ42)+'Results Calculation'!D42)/(1+After_Tax_Cash_Discount)^0.5</f>
        <v>79652167.204294145</v>
      </c>
      <c r="D42" s="173">
        <f>D40</f>
        <v>-307135.28991370334</v>
      </c>
      <c r="E42" s="173">
        <f>E40</f>
        <v>-3584401.3747047558</v>
      </c>
      <c r="F42" s="173">
        <f>F40</f>
        <v>-1855942.3734771544</v>
      </c>
      <c r="G42" s="173">
        <f t="shared" ref="G42:AQ42" si="30">G40</f>
        <v>-1400649.5984561888</v>
      </c>
      <c r="H42" s="173">
        <f t="shared" si="30"/>
        <v>6985705.1523601878</v>
      </c>
      <c r="I42" s="173">
        <f t="shared" si="30"/>
        <v>12242620.885871943</v>
      </c>
      <c r="J42" s="173">
        <f t="shared" si="30"/>
        <v>16516826.341516986</v>
      </c>
      <c r="K42" s="173">
        <f t="shared" si="30"/>
        <v>20581575.752225712</v>
      </c>
      <c r="L42" s="173">
        <f t="shared" si="30"/>
        <v>23945824.534417409</v>
      </c>
      <c r="M42" s="173">
        <f t="shared" si="30"/>
        <v>24373179.580872037</v>
      </c>
      <c r="N42" s="173">
        <f t="shared" si="30"/>
        <v>19755585.176393129</v>
      </c>
      <c r="O42" s="173">
        <f t="shared" si="30"/>
        <v>15786095.487848606</v>
      </c>
      <c r="P42" s="173">
        <f t="shared" si="30"/>
        <v>11756439.272300839</v>
      </c>
      <c r="Q42" s="173">
        <f t="shared" si="30"/>
        <v>7536268.4753361996</v>
      </c>
      <c r="R42" s="173">
        <f t="shared" si="30"/>
        <v>3257710.7248909762</v>
      </c>
      <c r="S42" s="173">
        <f t="shared" si="30"/>
        <v>-599450.83085881709</v>
      </c>
      <c r="T42" s="173">
        <f t="shared" si="30"/>
        <v>-5048808.9135541609</v>
      </c>
      <c r="U42" s="173">
        <f t="shared" si="30"/>
        <v>-9176317.1185059175</v>
      </c>
      <c r="V42" s="173">
        <f t="shared" si="30"/>
        <v>-12238019.776938407</v>
      </c>
      <c r="W42" s="173">
        <f t="shared" si="30"/>
        <v>-14366826.726794366</v>
      </c>
      <c r="X42" s="173">
        <f t="shared" si="30"/>
        <v>-15711002.055713734</v>
      </c>
      <c r="Y42" s="173">
        <f t="shared" si="30"/>
        <v>-17062249.18439788</v>
      </c>
      <c r="Z42" s="173">
        <f t="shared" si="30"/>
        <v>19153592.00184691</v>
      </c>
      <c r="AA42" s="173">
        <f t="shared" si="30"/>
        <v>17030468.6293162</v>
      </c>
      <c r="AB42" s="173">
        <f t="shared" si="30"/>
        <v>13481635.72435287</v>
      </c>
      <c r="AC42" s="173">
        <f t="shared" si="30"/>
        <v>10557627.016320162</v>
      </c>
      <c r="AD42" s="173">
        <f t="shared" si="30"/>
        <v>7707334.4562991653</v>
      </c>
      <c r="AE42" s="173">
        <f t="shared" si="30"/>
        <v>4944509.4088509399</v>
      </c>
      <c r="AF42" s="173">
        <f t="shared" si="30"/>
        <v>2271775.8993526679</v>
      </c>
      <c r="AG42" s="173">
        <f t="shared" si="30"/>
        <v>84052.448411147634</v>
      </c>
      <c r="AH42" s="173">
        <f t="shared" si="30"/>
        <v>59148.879853282626</v>
      </c>
      <c r="AI42" s="173">
        <f t="shared" si="30"/>
        <v>38542.72946211246</v>
      </c>
      <c r="AJ42" s="173">
        <f t="shared" si="30"/>
        <v>18933.767651923343</v>
      </c>
      <c r="AK42" s="173">
        <f t="shared" si="30"/>
        <v>2.7565240961848767E-9</v>
      </c>
      <c r="AL42" s="173">
        <f t="shared" si="30"/>
        <v>2.7565240961848767E-9</v>
      </c>
      <c r="AM42" s="173">
        <f t="shared" si="30"/>
        <v>2.7565240961848767E-9</v>
      </c>
      <c r="AN42" s="173">
        <f t="shared" si="30"/>
        <v>2.7565240961848767E-9</v>
      </c>
      <c r="AO42" s="173">
        <f t="shared" si="30"/>
        <v>2.7565240961848767E-9</v>
      </c>
      <c r="AP42" s="173">
        <f t="shared" si="30"/>
        <v>2.7565240961848767E-9</v>
      </c>
      <c r="AQ42" s="173">
        <f t="shared" si="30"/>
        <v>2.7565240961848767E-9</v>
      </c>
      <c r="AR42" s="173">
        <f t="shared" ref="AR42:BC42" si="31">AR40</f>
        <v>2.7565240961848767E-9</v>
      </c>
      <c r="AS42" s="173">
        <f t="shared" si="31"/>
        <v>2.7565240961848767E-9</v>
      </c>
      <c r="AT42" s="173">
        <f t="shared" si="31"/>
        <v>2.7565240961848767E-9</v>
      </c>
      <c r="AU42" s="173">
        <f t="shared" si="31"/>
        <v>2.7565240961848767E-9</v>
      </c>
      <c r="AV42" s="173">
        <f t="shared" si="31"/>
        <v>2.7565240961848767E-9</v>
      </c>
      <c r="AW42" s="173">
        <f t="shared" si="31"/>
        <v>2.7565240961848767E-9</v>
      </c>
      <c r="AX42" s="173">
        <f t="shared" si="31"/>
        <v>2.7565240961848767E-9</v>
      </c>
      <c r="AY42" s="173">
        <f t="shared" si="31"/>
        <v>2.7565240961848767E-9</v>
      </c>
      <c r="AZ42" s="173">
        <f t="shared" si="31"/>
        <v>2.7565240961848767E-9</v>
      </c>
      <c r="BA42" s="173">
        <f t="shared" si="31"/>
        <v>2.7565240961848767E-9</v>
      </c>
      <c r="BB42" s="173">
        <f t="shared" si="31"/>
        <v>2.7565240961848767E-9</v>
      </c>
      <c r="BC42" s="173">
        <f t="shared" si="31"/>
        <v>2.7565240961848767E-9</v>
      </c>
      <c r="BD42" s="173">
        <f t="shared" ref="BD42" si="32">BD40</f>
        <v>2.7565240961848767E-9</v>
      </c>
      <c r="BE42" s="133" t="s">
        <v>146</v>
      </c>
    </row>
    <row r="43" spans="2:57">
      <c r="B43" s="132" t="s">
        <v>109</v>
      </c>
      <c r="C43" s="172">
        <f>(NPV(After_Tax_Cash_Discount,'Results Calculation'!E43:AQ43)+'Results Calculation'!D43)/(1+After_Tax_Cash_Discount)^0.5</f>
        <v>74653656.949578166</v>
      </c>
      <c r="D43" s="18">
        <v>0</v>
      </c>
      <c r="E43" s="173">
        <f>D42</f>
        <v>-307135.28991370334</v>
      </c>
      <c r="F43" s="173">
        <f>E42</f>
        <v>-3584401.3747047558</v>
      </c>
      <c r="G43" s="173">
        <f t="shared" ref="G43:AQ43" si="33">F42</f>
        <v>-1855942.3734771544</v>
      </c>
      <c r="H43" s="173">
        <f t="shared" si="33"/>
        <v>-1400649.5984561888</v>
      </c>
      <c r="I43" s="173">
        <f t="shared" si="33"/>
        <v>6985705.1523601878</v>
      </c>
      <c r="J43" s="173">
        <f t="shared" si="33"/>
        <v>12242620.885871943</v>
      </c>
      <c r="K43" s="173">
        <f t="shared" si="33"/>
        <v>16516826.341516986</v>
      </c>
      <c r="L43" s="173">
        <f t="shared" si="33"/>
        <v>20581575.752225712</v>
      </c>
      <c r="M43" s="173">
        <f t="shared" si="33"/>
        <v>23945824.534417409</v>
      </c>
      <c r="N43" s="173">
        <f t="shared" si="33"/>
        <v>24373179.580872037</v>
      </c>
      <c r="O43" s="173">
        <f t="shared" si="33"/>
        <v>19755585.176393129</v>
      </c>
      <c r="P43" s="173">
        <f t="shared" si="33"/>
        <v>15786095.487848606</v>
      </c>
      <c r="Q43" s="173">
        <f t="shared" si="33"/>
        <v>11756439.272300839</v>
      </c>
      <c r="R43" s="173">
        <f t="shared" si="33"/>
        <v>7536268.4753361996</v>
      </c>
      <c r="S43" s="173">
        <f t="shared" si="33"/>
        <v>3257710.7248909762</v>
      </c>
      <c r="T43" s="173">
        <f t="shared" si="33"/>
        <v>-599450.83085881709</v>
      </c>
      <c r="U43" s="173">
        <f t="shared" si="33"/>
        <v>-5048808.9135541609</v>
      </c>
      <c r="V43" s="173">
        <f t="shared" si="33"/>
        <v>-9176317.1185059175</v>
      </c>
      <c r="W43" s="173">
        <f t="shared" si="33"/>
        <v>-12238019.776938407</v>
      </c>
      <c r="X43" s="173">
        <f t="shared" si="33"/>
        <v>-14366826.726794366</v>
      </c>
      <c r="Y43" s="173">
        <f t="shared" si="33"/>
        <v>-15711002.055713734</v>
      </c>
      <c r="Z43" s="173">
        <f t="shared" si="33"/>
        <v>-17062249.18439788</v>
      </c>
      <c r="AA43" s="173">
        <f t="shared" si="33"/>
        <v>19153592.00184691</v>
      </c>
      <c r="AB43" s="173">
        <f t="shared" si="33"/>
        <v>17030468.6293162</v>
      </c>
      <c r="AC43" s="173">
        <f t="shared" si="33"/>
        <v>13481635.72435287</v>
      </c>
      <c r="AD43" s="173">
        <f t="shared" si="33"/>
        <v>10557627.016320162</v>
      </c>
      <c r="AE43" s="173">
        <f t="shared" si="33"/>
        <v>7707334.4562991653</v>
      </c>
      <c r="AF43" s="173">
        <f t="shared" si="33"/>
        <v>4944509.4088509399</v>
      </c>
      <c r="AG43" s="173">
        <f t="shared" si="33"/>
        <v>2271775.8993526679</v>
      </c>
      <c r="AH43" s="173">
        <f t="shared" si="33"/>
        <v>84052.448411147634</v>
      </c>
      <c r="AI43" s="173">
        <f t="shared" si="33"/>
        <v>59148.879853282626</v>
      </c>
      <c r="AJ43" s="173">
        <f t="shared" si="33"/>
        <v>38542.72946211246</v>
      </c>
      <c r="AK43" s="173">
        <f t="shared" si="33"/>
        <v>18933.767651923343</v>
      </c>
      <c r="AL43" s="173">
        <f t="shared" si="33"/>
        <v>2.7565240961848767E-9</v>
      </c>
      <c r="AM43" s="173">
        <f t="shared" si="33"/>
        <v>2.7565240961848767E-9</v>
      </c>
      <c r="AN43" s="173">
        <f t="shared" si="33"/>
        <v>2.7565240961848767E-9</v>
      </c>
      <c r="AO43" s="173">
        <f t="shared" si="33"/>
        <v>2.7565240961848767E-9</v>
      </c>
      <c r="AP43" s="173">
        <f t="shared" si="33"/>
        <v>2.7565240961848767E-9</v>
      </c>
      <c r="AQ43" s="173">
        <f t="shared" si="33"/>
        <v>2.7565240961848767E-9</v>
      </c>
      <c r="AR43" s="173">
        <f t="shared" ref="AR43" si="34">AQ42</f>
        <v>2.7565240961848767E-9</v>
      </c>
      <c r="AS43" s="173">
        <f t="shared" ref="AS43" si="35">AR42</f>
        <v>2.7565240961848767E-9</v>
      </c>
      <c r="AT43" s="173">
        <f t="shared" ref="AT43" si="36">AS42</f>
        <v>2.7565240961848767E-9</v>
      </c>
      <c r="AU43" s="173">
        <f t="shared" ref="AU43" si="37">AT42</f>
        <v>2.7565240961848767E-9</v>
      </c>
      <c r="AV43" s="173">
        <f t="shared" ref="AV43" si="38">AU42</f>
        <v>2.7565240961848767E-9</v>
      </c>
      <c r="AW43" s="173">
        <f t="shared" ref="AW43" si="39">AV42</f>
        <v>2.7565240961848767E-9</v>
      </c>
      <c r="AX43" s="173">
        <f t="shared" ref="AX43" si="40">AW42</f>
        <v>2.7565240961848767E-9</v>
      </c>
      <c r="AY43" s="173">
        <f t="shared" ref="AY43" si="41">AX42</f>
        <v>2.7565240961848767E-9</v>
      </c>
      <c r="AZ43" s="173">
        <f t="shared" ref="AZ43" si="42">AY42</f>
        <v>2.7565240961848767E-9</v>
      </c>
      <c r="BA43" s="173">
        <f t="shared" ref="BA43" si="43">AZ42</f>
        <v>2.7565240961848767E-9</v>
      </c>
      <c r="BB43" s="173">
        <f t="shared" ref="BB43" si="44">BA42</f>
        <v>2.7565240961848767E-9</v>
      </c>
      <c r="BC43" s="173">
        <f t="shared" ref="BC43" si="45">BB42</f>
        <v>2.7565240961848767E-9</v>
      </c>
      <c r="BD43" s="173">
        <f t="shared" ref="BD43" si="46">BC42</f>
        <v>2.7565240961848767E-9</v>
      </c>
      <c r="BE43" s="133" t="s">
        <v>146</v>
      </c>
    </row>
    <row r="44" spans="2:57">
      <c r="B44" s="132" t="s">
        <v>110</v>
      </c>
      <c r="C44" s="172">
        <f>(NPV(After_Tax_Cash_Discount,'Results Calculation'!E44:AQ44)+'Results Calculation'!D44)/(1+After_Tax_Cash_Discount)^0.5</f>
        <v>69968824.346625492</v>
      </c>
      <c r="D44" s="18">
        <v>0</v>
      </c>
      <c r="E44" s="18">
        <v>0</v>
      </c>
      <c r="F44" s="173">
        <f>D42</f>
        <v>-307135.28991370334</v>
      </c>
      <c r="G44" s="173">
        <f t="shared" ref="G44:AQ44" si="47">E42</f>
        <v>-3584401.3747047558</v>
      </c>
      <c r="H44" s="173">
        <f t="shared" si="47"/>
        <v>-1855942.3734771544</v>
      </c>
      <c r="I44" s="173">
        <f t="shared" si="47"/>
        <v>-1400649.5984561888</v>
      </c>
      <c r="J44" s="173">
        <f t="shared" si="47"/>
        <v>6985705.1523601878</v>
      </c>
      <c r="K44" s="173">
        <f t="shared" si="47"/>
        <v>12242620.885871943</v>
      </c>
      <c r="L44" s="173">
        <f t="shared" si="47"/>
        <v>16516826.341516986</v>
      </c>
      <c r="M44" s="173">
        <f t="shared" si="47"/>
        <v>20581575.752225712</v>
      </c>
      <c r="N44" s="173">
        <f t="shared" si="47"/>
        <v>23945824.534417409</v>
      </c>
      <c r="O44" s="173">
        <f t="shared" si="47"/>
        <v>24373179.580872037</v>
      </c>
      <c r="P44" s="173">
        <f t="shared" si="47"/>
        <v>19755585.176393129</v>
      </c>
      <c r="Q44" s="173">
        <f t="shared" si="47"/>
        <v>15786095.487848606</v>
      </c>
      <c r="R44" s="173">
        <f t="shared" si="47"/>
        <v>11756439.272300839</v>
      </c>
      <c r="S44" s="173">
        <f t="shared" si="47"/>
        <v>7536268.4753361996</v>
      </c>
      <c r="T44" s="173">
        <f t="shared" si="47"/>
        <v>3257710.7248909762</v>
      </c>
      <c r="U44" s="173">
        <f t="shared" si="47"/>
        <v>-599450.83085881709</v>
      </c>
      <c r="V44" s="173">
        <f t="shared" si="47"/>
        <v>-5048808.9135541609</v>
      </c>
      <c r="W44" s="173">
        <f t="shared" si="47"/>
        <v>-9176317.1185059175</v>
      </c>
      <c r="X44" s="173">
        <f t="shared" si="47"/>
        <v>-12238019.776938407</v>
      </c>
      <c r="Y44" s="173">
        <f t="shared" si="47"/>
        <v>-14366826.726794366</v>
      </c>
      <c r="Z44" s="173">
        <f t="shared" si="47"/>
        <v>-15711002.055713734</v>
      </c>
      <c r="AA44" s="173">
        <f t="shared" si="47"/>
        <v>-17062249.18439788</v>
      </c>
      <c r="AB44" s="173">
        <f t="shared" si="47"/>
        <v>19153592.00184691</v>
      </c>
      <c r="AC44" s="173">
        <f t="shared" si="47"/>
        <v>17030468.6293162</v>
      </c>
      <c r="AD44" s="173">
        <f t="shared" si="47"/>
        <v>13481635.72435287</v>
      </c>
      <c r="AE44" s="173">
        <f t="shared" si="47"/>
        <v>10557627.016320162</v>
      </c>
      <c r="AF44" s="173">
        <f t="shared" si="47"/>
        <v>7707334.4562991653</v>
      </c>
      <c r="AG44" s="173">
        <f t="shared" si="47"/>
        <v>4944509.4088509399</v>
      </c>
      <c r="AH44" s="173">
        <f t="shared" si="47"/>
        <v>2271775.8993526679</v>
      </c>
      <c r="AI44" s="173">
        <f t="shared" si="47"/>
        <v>84052.448411147634</v>
      </c>
      <c r="AJ44" s="173">
        <f t="shared" si="47"/>
        <v>59148.879853282626</v>
      </c>
      <c r="AK44" s="173">
        <f t="shared" si="47"/>
        <v>38542.72946211246</v>
      </c>
      <c r="AL44" s="173">
        <f t="shared" si="47"/>
        <v>18933.767651923343</v>
      </c>
      <c r="AM44" s="173">
        <f t="shared" si="47"/>
        <v>2.7565240961848767E-9</v>
      </c>
      <c r="AN44" s="173">
        <f t="shared" si="47"/>
        <v>2.7565240961848767E-9</v>
      </c>
      <c r="AO44" s="173">
        <f t="shared" si="47"/>
        <v>2.7565240961848767E-9</v>
      </c>
      <c r="AP44" s="173">
        <f t="shared" si="47"/>
        <v>2.7565240961848767E-9</v>
      </c>
      <c r="AQ44" s="173">
        <f t="shared" si="47"/>
        <v>2.7565240961848767E-9</v>
      </c>
      <c r="AR44" s="173">
        <f t="shared" ref="AR44" si="48">AP42</f>
        <v>2.7565240961848767E-9</v>
      </c>
      <c r="AS44" s="173">
        <f t="shared" ref="AS44" si="49">AQ42</f>
        <v>2.7565240961848767E-9</v>
      </c>
      <c r="AT44" s="173">
        <f t="shared" ref="AT44" si="50">AR42</f>
        <v>2.7565240961848767E-9</v>
      </c>
      <c r="AU44" s="173">
        <f t="shared" ref="AU44" si="51">AS42</f>
        <v>2.7565240961848767E-9</v>
      </c>
      <c r="AV44" s="173">
        <f t="shared" ref="AV44" si="52">AT42</f>
        <v>2.7565240961848767E-9</v>
      </c>
      <c r="AW44" s="173">
        <f t="shared" ref="AW44" si="53">AU42</f>
        <v>2.7565240961848767E-9</v>
      </c>
      <c r="AX44" s="173">
        <f t="shared" ref="AX44" si="54">AV42</f>
        <v>2.7565240961848767E-9</v>
      </c>
      <c r="AY44" s="173">
        <f t="shared" ref="AY44" si="55">AW42</f>
        <v>2.7565240961848767E-9</v>
      </c>
      <c r="AZ44" s="173">
        <f t="shared" ref="AZ44" si="56">AX42</f>
        <v>2.7565240961848767E-9</v>
      </c>
      <c r="BA44" s="173">
        <f t="shared" ref="BA44" si="57">AY42</f>
        <v>2.7565240961848767E-9</v>
      </c>
      <c r="BB44" s="173">
        <f t="shared" ref="BB44" si="58">AZ42</f>
        <v>2.7565240961848767E-9</v>
      </c>
      <c r="BC44" s="173">
        <f t="shared" ref="BC44" si="59">BA42</f>
        <v>2.7565240961848767E-9</v>
      </c>
      <c r="BD44" s="173">
        <f t="shared" ref="BD44" si="60">BB42</f>
        <v>2.7565240961848767E-9</v>
      </c>
      <c r="BE44" s="133" t="s">
        <v>146</v>
      </c>
    </row>
    <row r="45" spans="2:57">
      <c r="C45" s="164"/>
      <c r="BE45" s="133" t="s">
        <v>146</v>
      </c>
    </row>
    <row r="46" spans="2:57">
      <c r="B46" s="132" t="s">
        <v>111</v>
      </c>
      <c r="C46" s="185">
        <f>C43-$C$42</f>
        <v>-4998510.2547159791</v>
      </c>
      <c r="BE46" s="133" t="s">
        <v>146</v>
      </c>
    </row>
    <row r="47" spans="2:57">
      <c r="B47" s="132" t="s">
        <v>112</v>
      </c>
      <c r="C47" s="185">
        <f>C44-$C$42</f>
        <v>-9683342.8576686531</v>
      </c>
      <c r="BE47" s="133" t="s">
        <v>146</v>
      </c>
    </row>
    <row r="48" spans="2:57">
      <c r="C48" s="164"/>
      <c r="BE48" s="133" t="s">
        <v>146</v>
      </c>
    </row>
    <row r="49" spans="1:57">
      <c r="C49" s="164"/>
      <c r="BE49" s="133" t="s">
        <v>146</v>
      </c>
    </row>
    <row r="50" spans="1:57">
      <c r="B50" s="132" t="s">
        <v>93</v>
      </c>
      <c r="C50" s="164"/>
      <c r="D50" s="195">
        <f>VLOOKUP(D$4,'Financial Assumptions'!$B$60:$D$65,2,FALSE)</f>
        <v>275987605.11104143</v>
      </c>
      <c r="E50" s="195">
        <f>VLOOKUP(E$4,'Financial Assumptions'!$B$60:$D$65,2,FALSE)</f>
        <v>321245250.31250405</v>
      </c>
      <c r="F50" s="195">
        <f>VLOOKUP(F$4,'Financial Assumptions'!$B$60:$D$65,2,FALSE)</f>
        <v>339997508.10098433</v>
      </c>
      <c r="G50" s="195">
        <f>VLOOKUP(G$4,'Financial Assumptions'!$B$60:$D$65,2,FALSE)</f>
        <v>341351765.06327677</v>
      </c>
      <c r="H50" s="195" t="e">
        <f>VLOOKUP(H$4,'Financial Assumptions'!$B$60:$D$65,2,FALSE)</f>
        <v>#N/A</v>
      </c>
      <c r="I50" s="195"/>
      <c r="J50" s="196"/>
      <c r="BE50" s="133" t="s">
        <v>146</v>
      </c>
    </row>
    <row r="51" spans="1:57">
      <c r="B51" s="132" t="str">
        <f>"Incremental Net Income: "&amp;Project_Description</f>
        <v xml:space="preserve">Incremental Net Income: AMI Model </v>
      </c>
      <c r="C51" s="164"/>
      <c r="D51" s="173">
        <f>'Income Statement (Results)'!C28</f>
        <v>768990.21816739161</v>
      </c>
      <c r="E51" s="173">
        <f>'Income Statement (Results)'!D28</f>
        <v>2509243.893048251</v>
      </c>
      <c r="F51" s="173">
        <f>'Income Statement (Results)'!E28</f>
        <v>5946540.3534897985</v>
      </c>
      <c r="G51" s="173">
        <f>'Income Statement (Results)'!F28</f>
        <v>9656820.0160329957</v>
      </c>
      <c r="H51" s="173">
        <f>'Income Statement (Results)'!G28</f>
        <v>12251026.464522101</v>
      </c>
      <c r="I51" s="175"/>
      <c r="BE51" s="133" t="s">
        <v>146</v>
      </c>
    </row>
    <row r="52" spans="1:57">
      <c r="A52" s="52"/>
      <c r="B52" s="132" t="s">
        <v>72</v>
      </c>
      <c r="C52" s="164"/>
      <c r="D52" s="197">
        <f>SUM(D50:D51)</f>
        <v>276756595.32920879</v>
      </c>
      <c r="E52" s="186">
        <f>SUM(E50:E51)</f>
        <v>323754494.20555228</v>
      </c>
      <c r="F52" s="186">
        <f>SUM(F50:F51)</f>
        <v>345944048.45447415</v>
      </c>
      <c r="G52" s="186">
        <f>SUM(G50:G51)</f>
        <v>351008585.07930976</v>
      </c>
      <c r="H52" s="186" t="e">
        <f>SUM(H50:H51)</f>
        <v>#N/A</v>
      </c>
      <c r="I52" s="187"/>
      <c r="BE52" s="133" t="s">
        <v>146</v>
      </c>
    </row>
    <row r="53" spans="1:57">
      <c r="C53" s="164"/>
      <c r="BE53" s="133" t="s">
        <v>146</v>
      </c>
    </row>
    <row r="54" spans="1:57">
      <c r="B54" s="161" t="s">
        <v>94</v>
      </c>
      <c r="C54" s="188"/>
      <c r="BE54" s="133" t="s">
        <v>146</v>
      </c>
    </row>
    <row r="55" spans="1:57">
      <c r="B55" s="132" t="s">
        <v>94</v>
      </c>
      <c r="C55" s="164"/>
      <c r="D55" s="184">
        <f>VLOOKUP(D$4,'Financial Assumptions'!$B$60:$D$65,3,FALSE)</f>
        <v>3537346037.4430599</v>
      </c>
      <c r="E55" s="184">
        <f>VLOOKUP(E$4,'Financial Assumptions'!$B$60:$D$65,3,FALSE)</f>
        <v>3511617582.85116</v>
      </c>
      <c r="F55" s="184">
        <f>VLOOKUP(F$4,'Financial Assumptions'!$B$60:$D$65,3,FALSE)</f>
        <v>3533864680.4483299</v>
      </c>
      <c r="G55" s="184">
        <f>VLOOKUP(G$4,'Financial Assumptions'!$B$60:$D$65,3,FALSE)</f>
        <v>3720452144.0946102</v>
      </c>
      <c r="H55" s="184" t="e">
        <f>VLOOKUP(H$4,'Financial Assumptions'!$B$60:$D$65,3,FALSE)</f>
        <v>#N/A</v>
      </c>
      <c r="I55" s="175"/>
      <c r="K55" s="175"/>
      <c r="BE55" s="133" t="s">
        <v>146</v>
      </c>
    </row>
    <row r="56" spans="1:57">
      <c r="B56" s="132" t="str">
        <f>"Incremental Equity: "&amp;Project_Description</f>
        <v xml:space="preserve">Incremental Equity: AMI Model </v>
      </c>
      <c r="C56" s="164"/>
      <c r="D56" s="184">
        <f>'Income Statement (Results)'!C30*Equity_Percent</f>
        <v>0</v>
      </c>
      <c r="E56" s="184">
        <f>'Income Statement (Results)'!D30*Equity_Percent</f>
        <v>4940446.8360452997</v>
      </c>
      <c r="F56" s="184">
        <f>'Income Statement (Results)'!E30*Equity_Percent</f>
        <v>17464409.990999401</v>
      </c>
      <c r="G56" s="184">
        <f>'Income Statement (Results)'!F30*Equity_Percent</f>
        <v>42969624.249165073</v>
      </c>
      <c r="H56" s="184">
        <f>'Income Statement (Results)'!G30*Equity_Percent</f>
        <v>73794820.522275537</v>
      </c>
      <c r="I56" s="175"/>
      <c r="BE56" s="133" t="s">
        <v>146</v>
      </c>
    </row>
    <row r="57" spans="1:57">
      <c r="B57" s="132" t="s">
        <v>95</v>
      </c>
      <c r="C57" s="164"/>
      <c r="D57" s="187">
        <f>SUM(D55:D56)</f>
        <v>3537346037.4430599</v>
      </c>
      <c r="E57" s="187">
        <f>SUM(E55:E56)</f>
        <v>3516558029.6872053</v>
      </c>
      <c r="F57" s="187">
        <f>SUM(F55:F56)</f>
        <v>3551329090.4393291</v>
      </c>
      <c r="G57" s="187">
        <f>SUM(G55:G56)</f>
        <v>3763421768.3437753</v>
      </c>
      <c r="H57" s="187" t="e">
        <f>SUM(H55:H56)</f>
        <v>#N/A</v>
      </c>
      <c r="I57" s="187"/>
      <c r="BE57" s="133" t="s">
        <v>146</v>
      </c>
    </row>
    <row r="58" spans="1:57">
      <c r="C58" s="164"/>
      <c r="BE58" s="133" t="s">
        <v>146</v>
      </c>
    </row>
    <row r="59" spans="1:57">
      <c r="B59" s="161" t="s">
        <v>99</v>
      </c>
      <c r="C59" s="188"/>
      <c r="BE59" s="133" t="s">
        <v>146</v>
      </c>
    </row>
    <row r="60" spans="1:57">
      <c r="B60" s="132" t="s">
        <v>100</v>
      </c>
      <c r="C60" s="164"/>
      <c r="D60" s="189">
        <f>D50/D55</f>
        <v>7.80210932687085E-2</v>
      </c>
      <c r="E60" s="189">
        <f>E50/E55</f>
        <v>9.148070447115085E-2</v>
      </c>
      <c r="F60" s="189">
        <f>F50/F55</f>
        <v>9.6211241472282397E-2</v>
      </c>
      <c r="G60" s="189">
        <f>G50/G55</f>
        <v>9.1750075486146679E-2</v>
      </c>
      <c r="H60" s="189" t="e">
        <f>H50/H55</f>
        <v>#N/A</v>
      </c>
      <c r="BE60" s="133" t="s">
        <v>146</v>
      </c>
    </row>
    <row r="61" spans="1:57">
      <c r="B61" s="132" t="str">
        <f>"ROE: "&amp;Project_Description</f>
        <v xml:space="preserve">ROE: AMI Model </v>
      </c>
      <c r="C61" s="164"/>
      <c r="D61" s="190">
        <f>D62-D60</f>
        <v>2.173918553705495E-4</v>
      </c>
      <c r="E61" s="190">
        <f>E62-E60</f>
        <v>5.8502897399009823E-4</v>
      </c>
      <c r="F61" s="190">
        <f>F62-F60</f>
        <v>1.2013158110748545E-3</v>
      </c>
      <c r="G61" s="190">
        <f>G62-G60</f>
        <v>1.5183931271342821E-3</v>
      </c>
      <c r="H61" s="190" t="e">
        <f>H62-H60</f>
        <v>#N/A</v>
      </c>
      <c r="BE61" s="133" t="s">
        <v>146</v>
      </c>
    </row>
    <row r="62" spans="1:57">
      <c r="B62" s="132" t="s">
        <v>99</v>
      </c>
      <c r="C62" s="164"/>
      <c r="D62" s="191">
        <f>D52/D57</f>
        <v>7.8238485124079049E-2</v>
      </c>
      <c r="E62" s="191">
        <f>E52/E57</f>
        <v>9.2065733445140949E-2</v>
      </c>
      <c r="F62" s="191">
        <f>F52/F57</f>
        <v>9.7412557283357251E-2</v>
      </c>
      <c r="G62" s="191">
        <f>G52/G57</f>
        <v>9.3268468613280961E-2</v>
      </c>
      <c r="H62" s="191" t="e">
        <f>H52/H57</f>
        <v>#N/A</v>
      </c>
      <c r="BE62" s="133" t="s">
        <v>146</v>
      </c>
    </row>
    <row r="63" spans="1:57">
      <c r="C63" s="164"/>
      <c r="BE63" s="133" t="s">
        <v>146</v>
      </c>
    </row>
    <row r="64" spans="1:57">
      <c r="C64" s="164"/>
    </row>
    <row r="65" spans="2:10">
      <c r="B65" s="132" t="s">
        <v>123</v>
      </c>
      <c r="C65" s="164"/>
    </row>
    <row r="66" spans="2:10">
      <c r="B66" s="132" t="s">
        <v>120</v>
      </c>
      <c r="C66" s="164"/>
      <c r="D66" s="184">
        <v>2137918456.6920497</v>
      </c>
      <c r="E66" s="184">
        <v>2126373660.56163</v>
      </c>
      <c r="F66" s="184">
        <v>2247606510.1426301</v>
      </c>
      <c r="G66" s="184">
        <v>2325157085.44454</v>
      </c>
      <c r="H66" s="184">
        <v>2375017778.4977498</v>
      </c>
      <c r="I66" s="184">
        <v>2424229495.2962704</v>
      </c>
      <c r="J66" s="18">
        <v>1000</v>
      </c>
    </row>
    <row r="67" spans="2:10">
      <c r="B67" s="132" t="s">
        <v>121</v>
      </c>
      <c r="C67" s="164"/>
      <c r="D67" s="184">
        <v>1037833398.3336099</v>
      </c>
      <c r="E67" s="184">
        <v>1056699702.35519</v>
      </c>
      <c r="F67" s="184">
        <v>1086241058.63166</v>
      </c>
      <c r="G67" s="184">
        <v>1123682548.9313002</v>
      </c>
      <c r="H67" s="184">
        <v>1155745756.42451</v>
      </c>
      <c r="I67" s="184">
        <v>1249079873.5218699</v>
      </c>
    </row>
    <row r="68" spans="2:10">
      <c r="B68" s="132" t="s">
        <v>122</v>
      </c>
      <c r="C68" s="164"/>
      <c r="D68" s="184">
        <f>SUM(D66:D67)</f>
        <v>3175751855.0256596</v>
      </c>
      <c r="E68" s="184">
        <f t="shared" ref="E68:H68" si="61">SUM(E66:E67)</f>
        <v>3183073362.91682</v>
      </c>
      <c r="F68" s="184">
        <f t="shared" si="61"/>
        <v>3333847568.7742901</v>
      </c>
      <c r="G68" s="184">
        <f t="shared" si="61"/>
        <v>3448839634.3758402</v>
      </c>
      <c r="H68" s="184">
        <f t="shared" si="61"/>
        <v>3530763534.9222598</v>
      </c>
      <c r="I68" s="184">
        <f t="shared" ref="I68" si="62">SUM(I66:I67)</f>
        <v>3673309368.81814</v>
      </c>
    </row>
    <row r="69" spans="2:10">
      <c r="C69" s="164"/>
    </row>
    <row r="70" spans="2:10">
      <c r="B70" s="192" t="s">
        <v>54</v>
      </c>
      <c r="C70" s="164"/>
      <c r="D70" s="173">
        <f>'Income Statement (Results)'!C6</f>
        <v>-494884.6152455663</v>
      </c>
      <c r="E70" s="173">
        <f>'Income Statement (Results)'!D6</f>
        <v>-5775517.0228235573</v>
      </c>
      <c r="F70" s="173">
        <f>'Income Statement (Results)'!E6</f>
        <v>-2990464.9761160687</v>
      </c>
      <c r="G70" s="173">
        <f>'Income Statement (Results)'!F6</f>
        <v>-2256855.4001743235</v>
      </c>
      <c r="H70" s="173">
        <f>'Income Statement (Results)'!G6</f>
        <v>11256010.364410086</v>
      </c>
      <c r="I70" s="173">
        <f>'Income Statement (Results)'!H6</f>
        <v>19726436.282865431</v>
      </c>
    </row>
    <row r="71" spans="2:10">
      <c r="C71" s="164"/>
    </row>
    <row r="72" spans="2:10">
      <c r="B72" s="132" t="s">
        <v>124</v>
      </c>
      <c r="C72" s="164"/>
      <c r="D72" s="18">
        <f>D70/D68</f>
        <v>-1.5583226833746673E-4</v>
      </c>
      <c r="E72" s="18">
        <f t="shared" ref="E72:I72" si="63">E70/E68</f>
        <v>-1.8144467199873592E-3</v>
      </c>
      <c r="F72" s="18">
        <f t="shared" si="63"/>
        <v>-8.9700111190612469E-4</v>
      </c>
      <c r="G72" s="18">
        <f t="shared" si="63"/>
        <v>-6.5438107869076429E-4</v>
      </c>
      <c r="H72" s="18">
        <f t="shared" si="63"/>
        <v>3.1879819345245163E-3</v>
      </c>
      <c r="I72" s="18">
        <f t="shared" si="63"/>
        <v>5.3702082515343008E-3</v>
      </c>
    </row>
    <row r="73" spans="2:10">
      <c r="C73" s="164"/>
    </row>
    <row r="74" spans="2:10">
      <c r="C74" s="164"/>
      <c r="D74" s="184">
        <v>1000000</v>
      </c>
    </row>
    <row r="75" spans="2:10">
      <c r="C75" s="164"/>
    </row>
    <row r="76" spans="2:10">
      <c r="C76" s="19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2:BE65"/>
  <sheetViews>
    <sheetView showGridLines="0" zoomScale="120" zoomScaleNormal="120" workbookViewId="0">
      <selection activeCell="C6" sqref="C6"/>
    </sheetView>
  </sheetViews>
  <sheetFormatPr defaultColWidth="8.81640625" defaultRowHeight="13"/>
  <cols>
    <col min="1" max="1" width="2" style="85" customWidth="1"/>
    <col min="2" max="2" width="40.1796875" style="5" bestFit="1" customWidth="1"/>
    <col min="3" max="3" width="17.26953125" style="5" customWidth="1"/>
    <col min="4" max="4" width="16.26953125" style="5" customWidth="1"/>
    <col min="5" max="8" width="12.453125" style="5" bestFit="1" customWidth="1"/>
    <col min="9" max="56" width="8.81640625" style="5"/>
    <col min="57" max="57" width="1.81640625" style="5" customWidth="1"/>
    <col min="58" max="16384" width="8.81640625" style="5"/>
  </cols>
  <sheetData>
    <row r="2" spans="1:7" s="19" customFormat="1">
      <c r="A2" s="85"/>
      <c r="B2" s="6" t="s">
        <v>77</v>
      </c>
      <c r="C2" s="210" t="s">
        <v>232</v>
      </c>
      <c r="D2" s="210"/>
      <c r="E2" s="210"/>
      <c r="F2" s="210"/>
      <c r="G2" s="210"/>
    </row>
    <row r="4" spans="1:7">
      <c r="B4" s="109" t="s">
        <v>142</v>
      </c>
      <c r="C4" s="110"/>
      <c r="D4" s="110"/>
      <c r="E4" s="110"/>
      <c r="F4" s="111"/>
      <c r="G4" s="111"/>
    </row>
    <row r="5" spans="1:7">
      <c r="B5" s="4" t="s">
        <v>169</v>
      </c>
      <c r="C5" s="8">
        <v>2016</v>
      </c>
      <c r="D5" s="4"/>
      <c r="E5" s="4"/>
    </row>
    <row r="6" spans="1:7">
      <c r="B6" s="4" t="s">
        <v>171</v>
      </c>
      <c r="C6" s="8">
        <v>2016</v>
      </c>
      <c r="D6" s="4"/>
      <c r="E6" s="4"/>
    </row>
    <row r="7" spans="1:7">
      <c r="B7" s="4" t="s">
        <v>170</v>
      </c>
      <c r="C7" s="8">
        <v>2027</v>
      </c>
      <c r="D7" s="4"/>
      <c r="E7" s="4"/>
    </row>
    <row r="8" spans="1:7">
      <c r="B8" s="4" t="s">
        <v>0</v>
      </c>
      <c r="C8" s="112">
        <v>55</v>
      </c>
      <c r="D8" s="4"/>
      <c r="E8" s="4"/>
    </row>
    <row r="9" spans="1:7" ht="14.5">
      <c r="B9" s="4"/>
      <c r="C9"/>
      <c r="D9" s="4"/>
      <c r="E9" s="4"/>
    </row>
    <row r="10" spans="1:7">
      <c r="B10" s="4" t="s">
        <v>159</v>
      </c>
      <c r="C10" s="237">
        <v>20</v>
      </c>
      <c r="D10" s="4"/>
      <c r="E10" s="4"/>
    </row>
    <row r="11" spans="1:7">
      <c r="B11" s="4" t="s">
        <v>160</v>
      </c>
      <c r="C11" s="156">
        <v>10</v>
      </c>
      <c r="D11" s="4"/>
      <c r="E11" s="4"/>
    </row>
    <row r="12" spans="1:7">
      <c r="B12" s="4" t="s">
        <v>161</v>
      </c>
      <c r="C12" s="12" t="s">
        <v>9</v>
      </c>
      <c r="D12" s="4"/>
      <c r="E12" s="4"/>
    </row>
    <row r="13" spans="1:7">
      <c r="B13" s="4" t="s">
        <v>198</v>
      </c>
      <c r="C13" s="5">
        <f>HLOOKUP("fully depreciated",'Income Statement (Results)'!$3:$4,2,FALSE)</f>
        <v>2049</v>
      </c>
      <c r="D13" s="4"/>
      <c r="E13" s="4"/>
    </row>
    <row r="14" spans="1:7" ht="14.5">
      <c r="B14" s="4"/>
      <c r="C14"/>
      <c r="D14" s="4"/>
      <c r="E14" s="4"/>
    </row>
    <row r="15" spans="1:7">
      <c r="B15" s="4" t="s">
        <v>1</v>
      </c>
      <c r="C15" s="9">
        <v>0.35</v>
      </c>
      <c r="D15" s="4"/>
      <c r="E15" s="4"/>
    </row>
    <row r="16" spans="1:7">
      <c r="B16" s="4" t="s">
        <v>2</v>
      </c>
      <c r="C16" s="10">
        <f>1.2%*E16</f>
        <v>1.2E-2</v>
      </c>
      <c r="D16" s="4"/>
      <c r="E16" s="112">
        <v>1</v>
      </c>
    </row>
    <row r="17" spans="1:5">
      <c r="B17" s="4" t="s">
        <v>78</v>
      </c>
      <c r="C17" s="113">
        <v>0</v>
      </c>
      <c r="D17" s="4"/>
      <c r="E17" s="112">
        <v>1</v>
      </c>
    </row>
    <row r="18" spans="1:5">
      <c r="B18" s="4" t="s">
        <v>3</v>
      </c>
      <c r="C18" s="11">
        <v>4.5199999999999997E-2</v>
      </c>
      <c r="D18" s="4"/>
      <c r="E18" s="4"/>
    </row>
    <row r="19" spans="1:5">
      <c r="B19" s="4" t="s">
        <v>4</v>
      </c>
      <c r="C19" s="11">
        <f>+WACC</f>
        <v>7.7700000000000005E-2</v>
      </c>
      <c r="D19" s="4"/>
      <c r="E19" s="4"/>
    </row>
    <row r="20" spans="1:5">
      <c r="A20" s="82"/>
      <c r="B20" s="4" t="s">
        <v>5</v>
      </c>
      <c r="C20" s="114">
        <v>0</v>
      </c>
      <c r="D20" s="4"/>
      <c r="E20" s="112">
        <v>1</v>
      </c>
    </row>
    <row r="21" spans="1:5">
      <c r="B21" s="4" t="s">
        <v>6</v>
      </c>
      <c r="C21" s="11">
        <v>0</v>
      </c>
      <c r="D21" s="4"/>
      <c r="E21" s="4"/>
    </row>
    <row r="22" spans="1:5">
      <c r="A22" s="82"/>
      <c r="B22" s="4" t="s">
        <v>7</v>
      </c>
      <c r="C22" s="11">
        <v>0</v>
      </c>
      <c r="D22" s="4"/>
      <c r="E22" s="4"/>
    </row>
    <row r="23" spans="1:5">
      <c r="B23" s="4" t="s">
        <v>8</v>
      </c>
      <c r="C23" s="12" t="s">
        <v>9</v>
      </c>
      <c r="E23" s="115">
        <f>IF(Requlated_scenario="yes",1,0)</f>
        <v>1</v>
      </c>
    </row>
    <row r="24" spans="1:5">
      <c r="B24" s="4" t="s">
        <v>10</v>
      </c>
      <c r="C24" s="12" t="s">
        <v>9</v>
      </c>
      <c r="E24" s="115">
        <f>IF(C24="yes",1,0)</f>
        <v>1</v>
      </c>
    </row>
    <row r="25" spans="1:5" ht="14.5">
      <c r="B25"/>
      <c r="C25"/>
      <c r="D25" s="13"/>
      <c r="E25" s="4"/>
    </row>
    <row r="26" spans="1:5">
      <c r="B26" s="4"/>
      <c r="C26" s="14"/>
      <c r="D26" s="13"/>
      <c r="E26" s="4"/>
    </row>
    <row r="27" spans="1:5">
      <c r="B27" s="4"/>
      <c r="C27" s="14"/>
      <c r="D27" s="13"/>
      <c r="E27" s="4"/>
    </row>
    <row r="28" spans="1:5">
      <c r="B28" s="4" t="s">
        <v>11</v>
      </c>
      <c r="C28" s="15" t="s">
        <v>12</v>
      </c>
      <c r="D28" s="16" t="s">
        <v>13</v>
      </c>
      <c r="E28" s="116">
        <v>905.66962448440029</v>
      </c>
    </row>
    <row r="29" spans="1:5">
      <c r="B29" s="4"/>
      <c r="C29" s="17">
        <f>C5</f>
        <v>2016</v>
      </c>
      <c r="D29" s="17">
        <f>+C29+1</f>
        <v>2017</v>
      </c>
      <c r="E29" s="17">
        <f>+D29+1</f>
        <v>2018</v>
      </c>
    </row>
    <row r="30" spans="1:5" ht="12.75" customHeight="1">
      <c r="B30" s="4" t="s">
        <v>14</v>
      </c>
      <c r="C30" s="12" t="s">
        <v>9</v>
      </c>
      <c r="D30" s="12" t="s">
        <v>9</v>
      </c>
      <c r="E30" s="12" t="s">
        <v>9</v>
      </c>
    </row>
    <row r="31" spans="1:5" s="209" customFormat="1">
      <c r="A31" s="90"/>
      <c r="B31" s="206" t="s">
        <v>15</v>
      </c>
      <c r="C31" s="207">
        <v>0</v>
      </c>
      <c r="D31" s="208" t="s">
        <v>16</v>
      </c>
      <c r="E31" s="206"/>
    </row>
    <row r="32" spans="1:5">
      <c r="B32" s="4"/>
      <c r="C32" s="4"/>
      <c r="D32" s="4"/>
      <c r="E32" s="4"/>
    </row>
    <row r="33" spans="1:7">
      <c r="B33" s="4"/>
      <c r="C33" s="4"/>
      <c r="D33" s="4"/>
      <c r="E33" s="4"/>
    </row>
    <row r="34" spans="1:7">
      <c r="B34" s="109" t="s">
        <v>17</v>
      </c>
      <c r="C34" s="110"/>
      <c r="D34" s="110"/>
      <c r="E34" s="110"/>
      <c r="F34" s="111"/>
      <c r="G34" s="111"/>
    </row>
    <row r="35" spans="1:7">
      <c r="B35" s="117" t="s">
        <v>18</v>
      </c>
      <c r="C35" s="4"/>
      <c r="D35" s="4"/>
      <c r="E35" s="4"/>
    </row>
    <row r="36" spans="1:7">
      <c r="B36" s="117"/>
      <c r="C36" s="4"/>
      <c r="D36" s="4"/>
      <c r="E36" s="4"/>
    </row>
    <row r="37" spans="1:7" s="19" customFormat="1">
      <c r="A37" s="85"/>
      <c r="B37" s="6"/>
      <c r="C37" s="118" t="s">
        <v>24</v>
      </c>
      <c r="D37" s="118" t="s">
        <v>19</v>
      </c>
      <c r="E37" s="118" t="s">
        <v>20</v>
      </c>
    </row>
    <row r="38" spans="1:7">
      <c r="B38" s="4" t="s">
        <v>26</v>
      </c>
      <c r="C38" s="10">
        <v>0.48</v>
      </c>
      <c r="D38" s="10">
        <v>6.1600000000000002E-2</v>
      </c>
      <c r="E38" s="119">
        <f>ROUND(C38*D38,4)</f>
        <v>2.9600000000000001E-2</v>
      </c>
    </row>
    <row r="39" spans="1:7">
      <c r="A39" s="82"/>
      <c r="B39" s="4" t="s">
        <v>21</v>
      </c>
      <c r="C39" s="10">
        <v>0.04</v>
      </c>
      <c r="D39" s="10">
        <v>2.6800000000000001E-2</v>
      </c>
      <c r="E39" s="119">
        <f>ROUND(C39*D39,4)</f>
        <v>1.1000000000000001E-3</v>
      </c>
    </row>
    <row r="40" spans="1:7">
      <c r="B40" s="4" t="s">
        <v>22</v>
      </c>
      <c r="C40" s="10">
        <v>0</v>
      </c>
      <c r="D40" s="10">
        <v>0</v>
      </c>
      <c r="E40" s="119">
        <f>ROUND(C40*D40,4)</f>
        <v>0</v>
      </c>
    </row>
    <row r="41" spans="1:7">
      <c r="B41" s="4" t="s">
        <v>143</v>
      </c>
      <c r="C41" s="10">
        <v>0.48</v>
      </c>
      <c r="D41" s="10">
        <v>9.8000000000000004E-2</v>
      </c>
      <c r="E41" s="119">
        <f>ROUND(C41*D41,4)</f>
        <v>4.7E-2</v>
      </c>
    </row>
    <row r="42" spans="1:7" s="19" customFormat="1" ht="13.5" thickBot="1">
      <c r="A42" s="85"/>
      <c r="B42" s="120" t="s">
        <v>23</v>
      </c>
      <c r="C42" s="121">
        <f>SUM(C38:C41)</f>
        <v>1</v>
      </c>
      <c r="D42" s="122"/>
      <c r="E42" s="123">
        <f>SUM(E38:E41)</f>
        <v>7.7700000000000005E-2</v>
      </c>
    </row>
    <row r="43" spans="1:7" s="124" customFormat="1" ht="13.5" thickTop="1">
      <c r="A43" s="85"/>
      <c r="B43" s="124" t="s">
        <v>79</v>
      </c>
      <c r="C43" s="125"/>
      <c r="D43" s="125"/>
      <c r="E43" s="126">
        <f>SUM(E38:E39)</f>
        <v>3.0700000000000002E-2</v>
      </c>
    </row>
    <row r="44" spans="1:7">
      <c r="B44" s="4"/>
      <c r="C44" s="127"/>
      <c r="D44" s="127"/>
      <c r="E44" s="127"/>
    </row>
    <row r="45" spans="1:7" s="19" customFormat="1">
      <c r="A45" s="85"/>
      <c r="B45" s="6"/>
      <c r="C45" s="118" t="s">
        <v>24</v>
      </c>
      <c r="D45" s="118" t="s">
        <v>19</v>
      </c>
      <c r="E45" s="118" t="s">
        <v>25</v>
      </c>
    </row>
    <row r="46" spans="1:7">
      <c r="B46" s="4" t="s">
        <v>26</v>
      </c>
      <c r="C46" s="128">
        <f>C38</f>
        <v>0.48</v>
      </c>
      <c r="D46" s="119">
        <f>D38*0.65</f>
        <v>4.0039999999999999E-2</v>
      </c>
      <c r="E46" s="129">
        <f>C46*D46</f>
        <v>1.9219199999999999E-2</v>
      </c>
    </row>
    <row r="47" spans="1:7">
      <c r="B47" s="4" t="s">
        <v>21</v>
      </c>
      <c r="C47" s="128">
        <f>C39</f>
        <v>0.04</v>
      </c>
      <c r="D47" s="119">
        <f>D39*0.65</f>
        <v>1.7420000000000001E-2</v>
      </c>
      <c r="E47" s="129">
        <f>C47*D47</f>
        <v>6.9680000000000002E-4</v>
      </c>
    </row>
    <row r="48" spans="1:7">
      <c r="B48" s="4" t="s">
        <v>22</v>
      </c>
      <c r="C48" s="128">
        <f t="shared" ref="C48:D49" si="0">C40</f>
        <v>0</v>
      </c>
      <c r="D48" s="119">
        <f t="shared" si="0"/>
        <v>0</v>
      </c>
      <c r="E48" s="129">
        <f>C48*D48</f>
        <v>0</v>
      </c>
    </row>
    <row r="49" spans="1:57">
      <c r="B49" s="4" t="s">
        <v>143</v>
      </c>
      <c r="C49" s="128">
        <f t="shared" si="0"/>
        <v>0.48</v>
      </c>
      <c r="D49" s="119">
        <f t="shared" si="0"/>
        <v>9.8000000000000004E-2</v>
      </c>
      <c r="E49" s="129">
        <f>C49*D49</f>
        <v>4.7039999999999998E-2</v>
      </c>
    </row>
    <row r="50" spans="1:57" s="19" customFormat="1" ht="13.5" thickBot="1">
      <c r="A50" s="85"/>
      <c r="B50" s="120" t="s">
        <v>23</v>
      </c>
      <c r="C50" s="121">
        <f>SUM(C46:C49)</f>
        <v>1</v>
      </c>
      <c r="D50" s="122"/>
      <c r="E50" s="123">
        <f>SUM(E46:E49)</f>
        <v>6.6956000000000002E-2</v>
      </c>
    </row>
    <row r="51" spans="1:57" ht="13.5" thickTop="1">
      <c r="B51" s="4"/>
      <c r="C51" s="127"/>
      <c r="D51" s="127"/>
      <c r="E51" s="127"/>
    </row>
    <row r="52" spans="1:57">
      <c r="B52" s="4" t="s">
        <v>144</v>
      </c>
      <c r="C52" s="127"/>
      <c r="D52" s="18"/>
      <c r="E52" s="119">
        <f>+After_Tax_Cash_Discount/(1-FIT_Tax_Rate)</f>
        <v>0.10300923076923077</v>
      </c>
    </row>
    <row r="53" spans="1:57">
      <c r="C53" s="18"/>
      <c r="D53" s="18"/>
      <c r="E53" s="130"/>
    </row>
    <row r="57" spans="1:57">
      <c r="B57" s="109" t="s">
        <v>150</v>
      </c>
      <c r="C57" s="110"/>
      <c r="D57" s="110"/>
      <c r="E57" s="110"/>
      <c r="F57" s="111"/>
      <c r="G57" s="111"/>
    </row>
    <row r="58" spans="1:57">
      <c r="B58" s="117" t="s">
        <v>151</v>
      </c>
      <c r="C58" s="21"/>
      <c r="D58" s="21"/>
      <c r="E58" s="21"/>
      <c r="F58" s="198"/>
      <c r="G58" s="198"/>
    </row>
    <row r="59" spans="1:57">
      <c r="B59" s="117"/>
      <c r="C59" s="21"/>
      <c r="D59" s="21"/>
      <c r="E59" s="21"/>
      <c r="F59" s="198"/>
      <c r="G59" s="198"/>
    </row>
    <row r="60" spans="1:57" s="154" customFormat="1" ht="26.5">
      <c r="A60" s="199"/>
      <c r="C60" s="154" t="s">
        <v>93</v>
      </c>
      <c r="D60" s="154" t="s">
        <v>207</v>
      </c>
      <c r="E60" s="131"/>
      <c r="F60" s="131"/>
      <c r="G60" s="131"/>
      <c r="H60" s="131"/>
      <c r="I60" s="131"/>
      <c r="J60" s="131"/>
      <c r="BE60" s="200" t="s">
        <v>146</v>
      </c>
    </row>
    <row r="61" spans="1:57">
      <c r="B61" s="132">
        <v>2015</v>
      </c>
      <c r="C61" s="194">
        <v>320368263.610493</v>
      </c>
      <c r="D61" s="194">
        <v>3603582344.86514</v>
      </c>
    </row>
    <row r="62" spans="1:57">
      <c r="B62" s="132">
        <f>B61+1</f>
        <v>2016</v>
      </c>
      <c r="C62" s="194">
        <v>275987605.11104143</v>
      </c>
      <c r="D62" s="194">
        <v>3537346037.4430599</v>
      </c>
    </row>
    <row r="63" spans="1:57">
      <c r="B63" s="132">
        <f t="shared" ref="B63:B65" si="1">B62+1</f>
        <v>2017</v>
      </c>
      <c r="C63" s="194">
        <v>321245250.31250405</v>
      </c>
      <c r="D63" s="194">
        <v>3511617582.85116</v>
      </c>
    </row>
    <row r="64" spans="1:57">
      <c r="A64" s="52"/>
      <c r="B64" s="132">
        <f t="shared" si="1"/>
        <v>2018</v>
      </c>
      <c r="C64" s="194">
        <v>339997508.10098433</v>
      </c>
      <c r="D64" s="194">
        <v>3533864680.4483299</v>
      </c>
    </row>
    <row r="65" spans="2:4">
      <c r="B65" s="132">
        <f t="shared" si="1"/>
        <v>2019</v>
      </c>
      <c r="C65" s="194">
        <v>341351765.06327677</v>
      </c>
      <c r="D65" s="194">
        <v>3720452144.0946102</v>
      </c>
    </row>
  </sheetData>
  <dataValidations count="4">
    <dataValidation type="list" allowBlank="1" showInputMessage="1" showErrorMessage="1" sqref="C31" xr:uid="{00000000-0002-0000-0100-000000000000}">
      <formula1>"0,1,2"</formula1>
    </dataValidation>
    <dataValidation type="list" allowBlank="1" showInputMessage="1" showErrorMessage="1" sqref="C28" xr:uid="{00000000-0002-0000-0100-000001000000}">
      <formula1>"Average, Beginning,End of period"</formula1>
    </dataValidation>
    <dataValidation type="list" allowBlank="1" showInputMessage="1" showErrorMessage="1" sqref="C23:C24 C30:E30 C12" xr:uid="{00000000-0002-0000-0100-000002000000}">
      <formula1>"Yes, No"</formula1>
    </dataValidation>
    <dataValidation type="list" allowBlank="1" showInputMessage="1" showErrorMessage="1" sqref="C11" xr:uid="{00000000-0002-0000-0100-000003000000}">
      <formula1>"3,5,7,10,15,20,39,Amortize"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BJ75"/>
  <sheetViews>
    <sheetView showGridLines="0" zoomScale="80" zoomScaleNormal="80" workbookViewId="0">
      <selection activeCell="O28" sqref="O28"/>
    </sheetView>
  </sheetViews>
  <sheetFormatPr defaultColWidth="9.1796875" defaultRowHeight="13"/>
  <cols>
    <col min="1" max="1" width="2" style="85" customWidth="1"/>
    <col min="2" max="2" width="46.81640625" style="132" customWidth="1"/>
    <col min="3" max="4" width="11.453125" style="18" bestFit="1" customWidth="1"/>
    <col min="5" max="5" width="9.453125" style="18" bestFit="1" customWidth="1"/>
    <col min="6" max="6" width="2.26953125" style="18" customWidth="1"/>
    <col min="7" max="7" width="13.1796875" style="18" bestFit="1" customWidth="1"/>
    <col min="8" max="8" width="7" style="18" bestFit="1" customWidth="1"/>
    <col min="9" max="12" width="15.81640625" style="18" bestFit="1" customWidth="1"/>
    <col min="13" max="15" width="16" style="18" bestFit="1" customWidth="1"/>
    <col min="16" max="16" width="17.1796875" style="18" bestFit="1" customWidth="1"/>
    <col min="17" max="20" width="16" style="18" bestFit="1" customWidth="1"/>
    <col min="21" max="22" width="13.1796875" style="18" bestFit="1" customWidth="1"/>
    <col min="23" max="30" width="13" style="18" bestFit="1" customWidth="1"/>
    <col min="31" max="61" width="6" style="18" bestFit="1" customWidth="1"/>
    <col min="62" max="62" width="2.1796875" style="18" bestFit="1" customWidth="1"/>
    <col min="63" max="16384" width="9.1796875" style="18"/>
  </cols>
  <sheetData>
    <row r="1" spans="1:62" s="133" customFormat="1">
      <c r="A1" s="201"/>
      <c r="B1" s="202" t="s">
        <v>152</v>
      </c>
      <c r="C1" s="203"/>
      <c r="D1" s="203"/>
      <c r="E1" s="203"/>
      <c r="F1" s="203"/>
      <c r="G1" s="203"/>
      <c r="H1" s="203"/>
      <c r="I1" s="204">
        <f t="shared" ref="I1:AN1" si="0">IF(Start_Year+Forecast_Period&gt;I4,1,0)</f>
        <v>1</v>
      </c>
      <c r="J1" s="204">
        <f t="shared" si="0"/>
        <v>1</v>
      </c>
      <c r="K1" s="204">
        <f t="shared" si="0"/>
        <v>1</v>
      </c>
      <c r="L1" s="204">
        <f t="shared" si="0"/>
        <v>1</v>
      </c>
      <c r="M1" s="204">
        <f>IF(Start_Year+Forecast_Period&gt;M4,1,0)</f>
        <v>1</v>
      </c>
      <c r="N1" s="204">
        <f t="shared" si="0"/>
        <v>1</v>
      </c>
      <c r="O1" s="204">
        <f t="shared" si="0"/>
        <v>1</v>
      </c>
      <c r="P1" s="204">
        <f t="shared" si="0"/>
        <v>1</v>
      </c>
      <c r="Q1" s="204">
        <f t="shared" si="0"/>
        <v>1</v>
      </c>
      <c r="R1" s="204">
        <f t="shared" si="0"/>
        <v>1</v>
      </c>
      <c r="S1" s="204">
        <f t="shared" si="0"/>
        <v>1</v>
      </c>
      <c r="T1" s="204">
        <f t="shared" si="0"/>
        <v>1</v>
      </c>
      <c r="U1" s="204">
        <f t="shared" si="0"/>
        <v>1</v>
      </c>
      <c r="V1" s="204">
        <f t="shared" si="0"/>
        <v>1</v>
      </c>
      <c r="W1" s="204">
        <f t="shared" si="0"/>
        <v>1</v>
      </c>
      <c r="X1" s="204">
        <f t="shared" si="0"/>
        <v>1</v>
      </c>
      <c r="Y1" s="204">
        <f t="shared" si="0"/>
        <v>1</v>
      </c>
      <c r="Z1" s="204">
        <f t="shared" si="0"/>
        <v>1</v>
      </c>
      <c r="AA1" s="204">
        <f t="shared" si="0"/>
        <v>1</v>
      </c>
      <c r="AB1" s="204">
        <f t="shared" si="0"/>
        <v>1</v>
      </c>
      <c r="AC1" s="204">
        <f t="shared" si="0"/>
        <v>1</v>
      </c>
      <c r="AD1" s="204">
        <f t="shared" si="0"/>
        <v>1</v>
      </c>
      <c r="AE1" s="204">
        <f t="shared" si="0"/>
        <v>1</v>
      </c>
      <c r="AF1" s="204">
        <f t="shared" si="0"/>
        <v>1</v>
      </c>
      <c r="AG1" s="204">
        <f t="shared" si="0"/>
        <v>1</v>
      </c>
      <c r="AH1" s="204">
        <f t="shared" si="0"/>
        <v>1</v>
      </c>
      <c r="AI1" s="204">
        <f t="shared" si="0"/>
        <v>1</v>
      </c>
      <c r="AJ1" s="204">
        <f t="shared" si="0"/>
        <v>1</v>
      </c>
      <c r="AK1" s="204">
        <f t="shared" si="0"/>
        <v>1</v>
      </c>
      <c r="AL1" s="204">
        <f t="shared" si="0"/>
        <v>1</v>
      </c>
      <c r="AM1" s="204">
        <f t="shared" si="0"/>
        <v>1</v>
      </c>
      <c r="AN1" s="204">
        <f t="shared" si="0"/>
        <v>1</v>
      </c>
      <c r="AO1" s="204">
        <f t="shared" ref="AO1:BI1" si="1">IF(Start_Year+Forecast_Period&gt;AO4,1,0)</f>
        <v>1</v>
      </c>
      <c r="AP1" s="204">
        <f t="shared" si="1"/>
        <v>1</v>
      </c>
      <c r="AQ1" s="204">
        <f t="shared" si="1"/>
        <v>1</v>
      </c>
      <c r="AR1" s="204">
        <f t="shared" si="1"/>
        <v>1</v>
      </c>
      <c r="AS1" s="204">
        <f t="shared" si="1"/>
        <v>1</v>
      </c>
      <c r="AT1" s="204">
        <f t="shared" si="1"/>
        <v>1</v>
      </c>
      <c r="AU1" s="204">
        <f t="shared" si="1"/>
        <v>1</v>
      </c>
      <c r="AV1" s="204">
        <f t="shared" si="1"/>
        <v>1</v>
      </c>
      <c r="AW1" s="204">
        <f t="shared" si="1"/>
        <v>1</v>
      </c>
      <c r="AX1" s="204">
        <f t="shared" si="1"/>
        <v>1</v>
      </c>
      <c r="AY1" s="204">
        <f t="shared" si="1"/>
        <v>1</v>
      </c>
      <c r="AZ1" s="204">
        <f t="shared" si="1"/>
        <v>1</v>
      </c>
      <c r="BA1" s="204">
        <f t="shared" si="1"/>
        <v>1</v>
      </c>
      <c r="BB1" s="204">
        <f t="shared" si="1"/>
        <v>1</v>
      </c>
      <c r="BC1" s="204">
        <f t="shared" si="1"/>
        <v>1</v>
      </c>
      <c r="BD1" s="204">
        <f t="shared" si="1"/>
        <v>1</v>
      </c>
      <c r="BE1" s="204">
        <f t="shared" si="1"/>
        <v>1</v>
      </c>
      <c r="BF1" s="204">
        <f t="shared" si="1"/>
        <v>1</v>
      </c>
      <c r="BG1" s="204">
        <f t="shared" si="1"/>
        <v>1</v>
      </c>
      <c r="BH1" s="204">
        <f t="shared" si="1"/>
        <v>1</v>
      </c>
      <c r="BI1" s="204">
        <f t="shared" si="1"/>
        <v>1</v>
      </c>
      <c r="BJ1" s="133" t="s">
        <v>146</v>
      </c>
    </row>
    <row r="2" spans="1:62">
      <c r="B2" s="275" t="str">
        <f>Project_Description</f>
        <v xml:space="preserve">AMI Model </v>
      </c>
      <c r="BJ2" s="133" t="s">
        <v>146</v>
      </c>
    </row>
    <row r="3" spans="1:62">
      <c r="B3" s="134"/>
      <c r="BJ3" s="133" t="s">
        <v>146</v>
      </c>
    </row>
    <row r="4" spans="1:62" s="139" customFormat="1">
      <c r="A4" s="85"/>
      <c r="B4" s="249"/>
      <c r="C4" s="250"/>
      <c r="D4" s="250"/>
      <c r="E4" s="250"/>
      <c r="F4" s="250"/>
      <c r="G4" s="250"/>
      <c r="H4" s="250"/>
      <c r="I4" s="252">
        <f>Start_Year</f>
        <v>2016</v>
      </c>
      <c r="J4" s="252">
        <f>I4+1</f>
        <v>2017</v>
      </c>
      <c r="K4" s="252">
        <f t="shared" ref="K4:AV4" si="2">J4+1</f>
        <v>2018</v>
      </c>
      <c r="L4" s="252">
        <f t="shared" si="2"/>
        <v>2019</v>
      </c>
      <c r="M4" s="252">
        <f t="shared" si="2"/>
        <v>2020</v>
      </c>
      <c r="N4" s="252">
        <f t="shared" si="2"/>
        <v>2021</v>
      </c>
      <c r="O4" s="252">
        <f t="shared" si="2"/>
        <v>2022</v>
      </c>
      <c r="P4" s="252">
        <f t="shared" si="2"/>
        <v>2023</v>
      </c>
      <c r="Q4" s="252">
        <f t="shared" si="2"/>
        <v>2024</v>
      </c>
      <c r="R4" s="252">
        <f t="shared" si="2"/>
        <v>2025</v>
      </c>
      <c r="S4" s="252">
        <f t="shared" si="2"/>
        <v>2026</v>
      </c>
      <c r="T4" s="252">
        <f t="shared" si="2"/>
        <v>2027</v>
      </c>
      <c r="U4" s="252">
        <f t="shared" si="2"/>
        <v>2028</v>
      </c>
      <c r="V4" s="252">
        <f t="shared" si="2"/>
        <v>2029</v>
      </c>
      <c r="W4" s="252">
        <f t="shared" si="2"/>
        <v>2030</v>
      </c>
      <c r="X4" s="252">
        <f t="shared" si="2"/>
        <v>2031</v>
      </c>
      <c r="Y4" s="252">
        <f t="shared" si="2"/>
        <v>2032</v>
      </c>
      <c r="Z4" s="252">
        <f t="shared" si="2"/>
        <v>2033</v>
      </c>
      <c r="AA4" s="252">
        <f t="shared" si="2"/>
        <v>2034</v>
      </c>
      <c r="AB4" s="252">
        <f t="shared" si="2"/>
        <v>2035</v>
      </c>
      <c r="AC4" s="252">
        <f t="shared" si="2"/>
        <v>2036</v>
      </c>
      <c r="AD4" s="252">
        <f t="shared" si="2"/>
        <v>2037</v>
      </c>
      <c r="AE4" s="252">
        <f t="shared" si="2"/>
        <v>2038</v>
      </c>
      <c r="AF4" s="252">
        <f t="shared" si="2"/>
        <v>2039</v>
      </c>
      <c r="AG4" s="252">
        <f t="shared" si="2"/>
        <v>2040</v>
      </c>
      <c r="AH4" s="252">
        <f t="shared" si="2"/>
        <v>2041</v>
      </c>
      <c r="AI4" s="252">
        <f t="shared" si="2"/>
        <v>2042</v>
      </c>
      <c r="AJ4" s="252">
        <f t="shared" si="2"/>
        <v>2043</v>
      </c>
      <c r="AK4" s="252">
        <f t="shared" si="2"/>
        <v>2044</v>
      </c>
      <c r="AL4" s="252">
        <f t="shared" si="2"/>
        <v>2045</v>
      </c>
      <c r="AM4" s="252">
        <f t="shared" si="2"/>
        <v>2046</v>
      </c>
      <c r="AN4" s="252">
        <f t="shared" si="2"/>
        <v>2047</v>
      </c>
      <c r="AO4" s="252">
        <f t="shared" si="2"/>
        <v>2048</v>
      </c>
      <c r="AP4" s="252">
        <f t="shared" si="2"/>
        <v>2049</v>
      </c>
      <c r="AQ4" s="252">
        <f t="shared" si="2"/>
        <v>2050</v>
      </c>
      <c r="AR4" s="252">
        <f t="shared" si="2"/>
        <v>2051</v>
      </c>
      <c r="AS4" s="252">
        <f t="shared" si="2"/>
        <v>2052</v>
      </c>
      <c r="AT4" s="252">
        <f t="shared" si="2"/>
        <v>2053</v>
      </c>
      <c r="AU4" s="252">
        <f t="shared" si="2"/>
        <v>2054</v>
      </c>
      <c r="AV4" s="252">
        <f t="shared" si="2"/>
        <v>2055</v>
      </c>
      <c r="AW4" s="252">
        <f t="shared" ref="AW4" si="3">AV4+1</f>
        <v>2056</v>
      </c>
      <c r="AX4" s="252">
        <f t="shared" ref="AX4" si="4">AW4+1</f>
        <v>2057</v>
      </c>
      <c r="AY4" s="252">
        <f t="shared" ref="AY4" si="5">AX4+1</f>
        <v>2058</v>
      </c>
      <c r="AZ4" s="252">
        <f t="shared" ref="AZ4" si="6">AY4+1</f>
        <v>2059</v>
      </c>
      <c r="BA4" s="252">
        <f t="shared" ref="BA4" si="7">AZ4+1</f>
        <v>2060</v>
      </c>
      <c r="BB4" s="252">
        <f t="shared" ref="BB4" si="8">BA4+1</f>
        <v>2061</v>
      </c>
      <c r="BC4" s="252">
        <f t="shared" ref="BC4" si="9">BB4+1</f>
        <v>2062</v>
      </c>
      <c r="BD4" s="252">
        <f t="shared" ref="BD4" si="10">BC4+1</f>
        <v>2063</v>
      </c>
      <c r="BE4" s="252">
        <f t="shared" ref="BE4" si="11">BD4+1</f>
        <v>2064</v>
      </c>
      <c r="BF4" s="252">
        <f t="shared" ref="BF4" si="12">BE4+1</f>
        <v>2065</v>
      </c>
      <c r="BG4" s="252">
        <f t="shared" ref="BG4" si="13">BF4+1</f>
        <v>2066</v>
      </c>
      <c r="BH4" s="252">
        <f t="shared" ref="BH4:BI4" si="14">BG4+1</f>
        <v>2067</v>
      </c>
      <c r="BI4" s="252">
        <f t="shared" si="14"/>
        <v>2068</v>
      </c>
      <c r="BJ4" s="133" t="s">
        <v>146</v>
      </c>
    </row>
    <row r="5" spans="1:62" s="139" customFormat="1">
      <c r="A5" s="85"/>
      <c r="B5" s="213"/>
      <c r="C5" s="214"/>
      <c r="D5" s="214"/>
      <c r="E5" s="214"/>
      <c r="F5" s="214"/>
      <c r="G5" s="214"/>
      <c r="H5" s="214"/>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51"/>
    </row>
    <row r="6" spans="1:62" s="138" customFormat="1">
      <c r="A6" s="85"/>
      <c r="B6" s="135" t="s">
        <v>145</v>
      </c>
      <c r="C6" s="136"/>
      <c r="D6" s="136"/>
      <c r="E6" s="136"/>
      <c r="F6" s="136"/>
      <c r="G6" s="136"/>
      <c r="H6" s="136"/>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3" t="s">
        <v>146</v>
      </c>
    </row>
    <row r="7" spans="1:62">
      <c r="B7" s="7" t="s">
        <v>139</v>
      </c>
      <c r="C7" s="127"/>
      <c r="D7" s="127"/>
      <c r="E7" s="127"/>
      <c r="F7" s="127"/>
      <c r="G7" s="127"/>
      <c r="H7" s="127"/>
      <c r="I7" s="140">
        <v>0</v>
      </c>
      <c r="J7" s="140">
        <v>0</v>
      </c>
      <c r="K7" s="140">
        <v>0</v>
      </c>
      <c r="L7" s="140">
        <v>0</v>
      </c>
      <c r="M7" s="140">
        <v>0</v>
      </c>
      <c r="N7" s="140">
        <v>0</v>
      </c>
      <c r="O7" s="140">
        <v>0</v>
      </c>
      <c r="P7" s="140">
        <v>0</v>
      </c>
      <c r="Q7" s="140">
        <v>0</v>
      </c>
      <c r="R7" s="140">
        <v>0</v>
      </c>
      <c r="S7" s="140">
        <v>0</v>
      </c>
      <c r="T7" s="140">
        <v>0</v>
      </c>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0"/>
      <c r="BG7" s="140"/>
      <c r="BH7" s="140"/>
      <c r="BI7" s="140"/>
      <c r="BJ7" s="195" t="s">
        <v>146</v>
      </c>
    </row>
    <row r="8" spans="1:62">
      <c r="B8" s="7" t="s">
        <v>140</v>
      </c>
      <c r="C8" s="127"/>
      <c r="D8" s="127"/>
      <c r="E8" s="127"/>
      <c r="F8" s="127"/>
      <c r="G8" s="127"/>
      <c r="H8" s="127"/>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95" t="s">
        <v>146</v>
      </c>
    </row>
    <row r="9" spans="1:62">
      <c r="B9" s="7" t="s">
        <v>138</v>
      </c>
      <c r="C9" s="127"/>
      <c r="D9" s="127"/>
      <c r="E9" s="127"/>
      <c r="F9" s="127"/>
      <c r="G9" s="127"/>
      <c r="H9" s="127"/>
      <c r="I9" s="140">
        <v>-472515.83063646668</v>
      </c>
      <c r="J9" s="140">
        <v>-6574696.2122196537</v>
      </c>
      <c r="K9" s="140">
        <v>-7669793.5460921042</v>
      </c>
      <c r="L9" s="140">
        <v>-14185582.545780562</v>
      </c>
      <c r="M9" s="140">
        <v>-12031867.087939808</v>
      </c>
      <c r="N9" s="140">
        <v>-12770405.637546735</v>
      </c>
      <c r="O9" s="140">
        <v>-14869542.307376042</v>
      </c>
      <c r="P9" s="140">
        <v>-17143522.477703594</v>
      </c>
      <c r="Q9" s="140">
        <v>-19751929.952036683</v>
      </c>
      <c r="R9" s="140">
        <v>-22267109.902521782</v>
      </c>
      <c r="S9" s="140">
        <v>-26096764.381659083</v>
      </c>
      <c r="T9" s="140">
        <v>-29172527.532278325</v>
      </c>
      <c r="U9" s="140">
        <v>-32546250.451689467</v>
      </c>
      <c r="V9" s="140">
        <v>-36380882.131553598</v>
      </c>
      <c r="W9" s="140">
        <v>-40449356.546508506</v>
      </c>
      <c r="X9" s="140">
        <v>-44052638.106116906</v>
      </c>
      <c r="Y9" s="140">
        <v>-48735636.759026721</v>
      </c>
      <c r="Z9" s="140">
        <v>-53096825.440337688</v>
      </c>
      <c r="AA9" s="140">
        <v>-55989046.117263652</v>
      </c>
      <c r="AB9" s="140">
        <v>-57567703.927123815</v>
      </c>
      <c r="AC9" s="140">
        <v>-57978692.381805211</v>
      </c>
      <c r="AD9" s="140">
        <v>-58401898.280915782</v>
      </c>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95" t="s">
        <v>146</v>
      </c>
    </row>
    <row r="10" spans="1:62" s="138" customFormat="1">
      <c r="A10" s="82"/>
      <c r="B10" s="141" t="s">
        <v>154</v>
      </c>
      <c r="C10" s="142"/>
      <c r="D10" s="142"/>
      <c r="E10" s="142"/>
      <c r="F10" s="142"/>
      <c r="G10" s="142"/>
      <c r="H10" s="142"/>
      <c r="I10" s="143">
        <f>SUM(I7:I9)</f>
        <v>-472515.83063646668</v>
      </c>
      <c r="J10" s="143">
        <f t="shared" ref="J10:BE10" si="15">SUM(J7:J9)</f>
        <v>-6574696.2122196537</v>
      </c>
      <c r="K10" s="143">
        <f t="shared" si="15"/>
        <v>-7669793.5460921042</v>
      </c>
      <c r="L10" s="143">
        <f>SUM(L7:L9)</f>
        <v>-14185582.545780562</v>
      </c>
      <c r="M10" s="143">
        <f>SUM(M7:M9)</f>
        <v>-12031867.087939808</v>
      </c>
      <c r="N10" s="143">
        <f t="shared" si="15"/>
        <v>-12770405.637546735</v>
      </c>
      <c r="O10" s="143">
        <f t="shared" si="15"/>
        <v>-14869542.307376042</v>
      </c>
      <c r="P10" s="143">
        <f t="shared" si="15"/>
        <v>-17143522.477703594</v>
      </c>
      <c r="Q10" s="143">
        <f t="shared" si="15"/>
        <v>-19751929.952036683</v>
      </c>
      <c r="R10" s="143">
        <f t="shared" si="15"/>
        <v>-22267109.902521782</v>
      </c>
      <c r="S10" s="143">
        <f t="shared" si="15"/>
        <v>-26096764.381659083</v>
      </c>
      <c r="T10" s="143">
        <f t="shared" si="15"/>
        <v>-29172527.532278325</v>
      </c>
      <c r="U10" s="143">
        <f t="shared" si="15"/>
        <v>-32546250.451689467</v>
      </c>
      <c r="V10" s="143">
        <f t="shared" si="15"/>
        <v>-36380882.131553598</v>
      </c>
      <c r="W10" s="143">
        <f t="shared" si="15"/>
        <v>-40449356.546508506</v>
      </c>
      <c r="X10" s="143">
        <f t="shared" si="15"/>
        <v>-44052638.106116906</v>
      </c>
      <c r="Y10" s="143">
        <f t="shared" si="15"/>
        <v>-48735636.759026721</v>
      </c>
      <c r="Z10" s="143">
        <f>SUM(Z7:Z9)</f>
        <v>-53096825.440337688</v>
      </c>
      <c r="AA10" s="143">
        <f t="shared" si="15"/>
        <v>-55989046.117263652</v>
      </c>
      <c r="AB10" s="143">
        <f t="shared" si="15"/>
        <v>-57567703.927123815</v>
      </c>
      <c r="AC10" s="143">
        <f t="shared" si="15"/>
        <v>-57978692.381805211</v>
      </c>
      <c r="AD10" s="143">
        <f>SUM(AD7:AD9)</f>
        <v>-58401898.280915782</v>
      </c>
      <c r="AE10" s="143">
        <f t="shared" si="15"/>
        <v>0</v>
      </c>
      <c r="AF10" s="143">
        <f t="shared" si="15"/>
        <v>0</v>
      </c>
      <c r="AG10" s="143">
        <f t="shared" si="15"/>
        <v>0</v>
      </c>
      <c r="AH10" s="143">
        <f t="shared" si="15"/>
        <v>0</v>
      </c>
      <c r="AI10" s="143">
        <f t="shared" si="15"/>
        <v>0</v>
      </c>
      <c r="AJ10" s="143">
        <f t="shared" si="15"/>
        <v>0</v>
      </c>
      <c r="AK10" s="143">
        <f t="shared" si="15"/>
        <v>0</v>
      </c>
      <c r="AL10" s="143">
        <f t="shared" si="15"/>
        <v>0</v>
      </c>
      <c r="AM10" s="143">
        <f t="shared" si="15"/>
        <v>0</v>
      </c>
      <c r="AN10" s="143">
        <f t="shared" si="15"/>
        <v>0</v>
      </c>
      <c r="AO10" s="143">
        <f t="shared" si="15"/>
        <v>0</v>
      </c>
      <c r="AP10" s="143">
        <f t="shared" si="15"/>
        <v>0</v>
      </c>
      <c r="AQ10" s="143">
        <f t="shared" si="15"/>
        <v>0</v>
      </c>
      <c r="AR10" s="143">
        <f t="shared" si="15"/>
        <v>0</v>
      </c>
      <c r="AS10" s="143">
        <f t="shared" si="15"/>
        <v>0</v>
      </c>
      <c r="AT10" s="143">
        <f t="shared" si="15"/>
        <v>0</v>
      </c>
      <c r="AU10" s="143">
        <f t="shared" si="15"/>
        <v>0</v>
      </c>
      <c r="AV10" s="143">
        <f t="shared" si="15"/>
        <v>0</v>
      </c>
      <c r="AW10" s="143">
        <f t="shared" si="15"/>
        <v>0</v>
      </c>
      <c r="AX10" s="143">
        <f t="shared" si="15"/>
        <v>0</v>
      </c>
      <c r="AY10" s="143">
        <f t="shared" si="15"/>
        <v>0</v>
      </c>
      <c r="AZ10" s="143">
        <f t="shared" si="15"/>
        <v>0</v>
      </c>
      <c r="BA10" s="143">
        <f t="shared" si="15"/>
        <v>0</v>
      </c>
      <c r="BB10" s="143">
        <f t="shared" si="15"/>
        <v>0</v>
      </c>
      <c r="BC10" s="143">
        <f t="shared" si="15"/>
        <v>0</v>
      </c>
      <c r="BD10" s="143">
        <f t="shared" si="15"/>
        <v>0</v>
      </c>
      <c r="BE10" s="143">
        <f t="shared" si="15"/>
        <v>0</v>
      </c>
      <c r="BF10" s="143">
        <f t="shared" ref="BF10" si="16">SUM(BF7:BF9)</f>
        <v>0</v>
      </c>
      <c r="BG10" s="143">
        <f t="shared" ref="BG10" si="17">SUM(BG7:BG9)</f>
        <v>0</v>
      </c>
      <c r="BH10" s="143">
        <f t="shared" ref="BH10" si="18">SUM(BH7:BH9)</f>
        <v>0</v>
      </c>
      <c r="BI10" s="143">
        <f t="shared" ref="BI10" si="19">SUM(BI7:BI9)</f>
        <v>0</v>
      </c>
      <c r="BJ10" s="143" t="e">
        <f>SUM(#REF!)</f>
        <v>#REF!</v>
      </c>
    </row>
    <row r="12" spans="1:62">
      <c r="A12" s="82"/>
      <c r="B12" s="7"/>
      <c r="C12" s="127"/>
      <c r="D12" s="127"/>
      <c r="E12" s="127"/>
      <c r="F12" s="127"/>
      <c r="G12" s="127"/>
      <c r="H12" s="127"/>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33" t="s">
        <v>146</v>
      </c>
    </row>
    <row r="13" spans="1:62">
      <c r="B13" s="135" t="s">
        <v>137</v>
      </c>
      <c r="C13" s="211"/>
      <c r="D13" s="211"/>
      <c r="E13" s="211"/>
      <c r="F13" s="211"/>
      <c r="G13" s="211"/>
      <c r="H13" s="211"/>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133" t="s">
        <v>146</v>
      </c>
    </row>
    <row r="14" spans="1:62">
      <c r="B14" s="7"/>
      <c r="C14" s="127"/>
      <c r="D14" s="127"/>
      <c r="E14" s="127"/>
      <c r="F14" s="127"/>
      <c r="G14" s="127"/>
      <c r="H14" s="127"/>
      <c r="I14" s="145"/>
      <c r="J14" s="145"/>
      <c r="K14" s="145"/>
      <c r="L14" s="145"/>
      <c r="M14" s="145"/>
      <c r="N14" s="145"/>
      <c r="O14" s="145"/>
      <c r="P14" s="145"/>
      <c r="Q14" s="145"/>
      <c r="R14" s="145"/>
      <c r="S14" s="145"/>
      <c r="T14" s="145"/>
      <c r="U14" s="145"/>
      <c r="V14" s="145"/>
      <c r="W14" s="145"/>
      <c r="X14" s="145"/>
      <c r="Y14" s="145"/>
      <c r="Z14" s="145"/>
      <c r="AA14" s="145"/>
      <c r="AB14" s="145"/>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33" t="s">
        <v>146</v>
      </c>
    </row>
    <row r="15" spans="1:62">
      <c r="B15" s="146" t="s">
        <v>27</v>
      </c>
      <c r="C15" s="127"/>
      <c r="D15" s="127"/>
      <c r="E15" s="127"/>
      <c r="F15" s="127"/>
      <c r="G15" s="127"/>
      <c r="H15" s="12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33" t="s">
        <v>146</v>
      </c>
    </row>
    <row r="16" spans="1:62">
      <c r="B16" s="146" t="s">
        <v>28</v>
      </c>
      <c r="C16" s="127"/>
      <c r="D16" s="127"/>
      <c r="E16" s="127"/>
      <c r="F16" s="127"/>
      <c r="G16" s="127"/>
      <c r="H16" s="12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33" t="s">
        <v>146</v>
      </c>
    </row>
    <row r="17" spans="1:62">
      <c r="B17" s="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33" t="s">
        <v>146</v>
      </c>
    </row>
    <row r="19" spans="1:62">
      <c r="BJ19" s="133" t="s">
        <v>146</v>
      </c>
    </row>
    <row r="20" spans="1:62" s="138" customFormat="1">
      <c r="A20" s="85"/>
      <c r="B20" s="135" t="s">
        <v>147</v>
      </c>
      <c r="C20" s="136"/>
      <c r="D20" s="136"/>
      <c r="E20" s="136"/>
      <c r="F20" s="136"/>
      <c r="G20" s="136"/>
      <c r="H20" s="136"/>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3" t="s">
        <v>146</v>
      </c>
    </row>
    <row r="21" spans="1:62" ht="14.5">
      <c r="C21"/>
      <c r="BJ21" s="133" t="s">
        <v>146</v>
      </c>
    </row>
    <row r="22" spans="1:62">
      <c r="G22" s="205"/>
      <c r="BJ22" s="133" t="s">
        <v>146</v>
      </c>
    </row>
    <row r="23" spans="1:62" s="154" customFormat="1" ht="40.5">
      <c r="A23" s="148"/>
      <c r="B23" s="149"/>
      <c r="C23" s="150" t="s">
        <v>159</v>
      </c>
      <c r="D23" s="150" t="s">
        <v>162</v>
      </c>
      <c r="E23" s="150" t="s">
        <v>215</v>
      </c>
      <c r="F23" s="150"/>
      <c r="G23" s="150" t="s">
        <v>220</v>
      </c>
      <c r="H23" s="150" t="s">
        <v>10</v>
      </c>
      <c r="I23" s="151">
        <f>I4</f>
        <v>2016</v>
      </c>
      <c r="J23" s="152">
        <f t="shared" ref="J23:AV23" si="20">I23+1</f>
        <v>2017</v>
      </c>
      <c r="K23" s="152">
        <f t="shared" si="20"/>
        <v>2018</v>
      </c>
      <c r="L23" s="152">
        <f t="shared" si="20"/>
        <v>2019</v>
      </c>
      <c r="M23" s="152">
        <f t="shared" si="20"/>
        <v>2020</v>
      </c>
      <c r="N23" s="152">
        <f t="shared" si="20"/>
        <v>2021</v>
      </c>
      <c r="O23" s="152">
        <f t="shared" si="20"/>
        <v>2022</v>
      </c>
      <c r="P23" s="152">
        <f t="shared" si="20"/>
        <v>2023</v>
      </c>
      <c r="Q23" s="152">
        <f t="shared" si="20"/>
        <v>2024</v>
      </c>
      <c r="R23" s="152">
        <f t="shared" si="20"/>
        <v>2025</v>
      </c>
      <c r="S23" s="152">
        <f t="shared" si="20"/>
        <v>2026</v>
      </c>
      <c r="T23" s="152">
        <f t="shared" si="20"/>
        <v>2027</v>
      </c>
      <c r="U23" s="152">
        <f t="shared" si="20"/>
        <v>2028</v>
      </c>
      <c r="V23" s="152">
        <f t="shared" si="20"/>
        <v>2029</v>
      </c>
      <c r="W23" s="152">
        <f t="shared" si="20"/>
        <v>2030</v>
      </c>
      <c r="X23" s="152">
        <f t="shared" si="20"/>
        <v>2031</v>
      </c>
      <c r="Y23" s="152">
        <f t="shared" si="20"/>
        <v>2032</v>
      </c>
      <c r="Z23" s="152">
        <f t="shared" si="20"/>
        <v>2033</v>
      </c>
      <c r="AA23" s="152">
        <f t="shared" si="20"/>
        <v>2034</v>
      </c>
      <c r="AB23" s="152">
        <f t="shared" si="20"/>
        <v>2035</v>
      </c>
      <c r="AC23" s="152">
        <f t="shared" si="20"/>
        <v>2036</v>
      </c>
      <c r="AD23" s="152">
        <f t="shared" si="20"/>
        <v>2037</v>
      </c>
      <c r="AE23" s="152">
        <f t="shared" si="20"/>
        <v>2038</v>
      </c>
      <c r="AF23" s="152">
        <f t="shared" si="20"/>
        <v>2039</v>
      </c>
      <c r="AG23" s="152">
        <f t="shared" si="20"/>
        <v>2040</v>
      </c>
      <c r="AH23" s="152">
        <f t="shared" si="20"/>
        <v>2041</v>
      </c>
      <c r="AI23" s="152">
        <f t="shared" si="20"/>
        <v>2042</v>
      </c>
      <c r="AJ23" s="152">
        <f t="shared" si="20"/>
        <v>2043</v>
      </c>
      <c r="AK23" s="152">
        <f t="shared" si="20"/>
        <v>2044</v>
      </c>
      <c r="AL23" s="152">
        <f t="shared" si="20"/>
        <v>2045</v>
      </c>
      <c r="AM23" s="152">
        <f t="shared" si="20"/>
        <v>2046</v>
      </c>
      <c r="AN23" s="152">
        <f t="shared" si="20"/>
        <v>2047</v>
      </c>
      <c r="AO23" s="152">
        <f t="shared" si="20"/>
        <v>2048</v>
      </c>
      <c r="AP23" s="152">
        <f t="shared" si="20"/>
        <v>2049</v>
      </c>
      <c r="AQ23" s="152">
        <f t="shared" si="20"/>
        <v>2050</v>
      </c>
      <c r="AR23" s="152">
        <f t="shared" si="20"/>
        <v>2051</v>
      </c>
      <c r="AS23" s="152">
        <f t="shared" si="20"/>
        <v>2052</v>
      </c>
      <c r="AT23" s="152">
        <f t="shared" si="20"/>
        <v>2053</v>
      </c>
      <c r="AU23" s="152">
        <f t="shared" si="20"/>
        <v>2054</v>
      </c>
      <c r="AV23" s="152">
        <f t="shared" si="20"/>
        <v>2055</v>
      </c>
      <c r="AW23" s="152">
        <f t="shared" ref="AW23" si="21">AV23+1</f>
        <v>2056</v>
      </c>
      <c r="AX23" s="152">
        <f t="shared" ref="AX23" si="22">AW23+1</f>
        <v>2057</v>
      </c>
      <c r="AY23" s="152">
        <f t="shared" ref="AY23" si="23">AX23+1</f>
        <v>2058</v>
      </c>
      <c r="AZ23" s="152">
        <f t="shared" ref="AZ23" si="24">AY23+1</f>
        <v>2059</v>
      </c>
      <c r="BA23" s="152">
        <f t="shared" ref="BA23" si="25">AZ23+1</f>
        <v>2060</v>
      </c>
      <c r="BB23" s="152">
        <f t="shared" ref="BB23" si="26">BA23+1</f>
        <v>2061</v>
      </c>
      <c r="BC23" s="152">
        <f t="shared" ref="BC23" si="27">BB23+1</f>
        <v>2062</v>
      </c>
      <c r="BD23" s="152">
        <f t="shared" ref="BD23" si="28">BC23+1</f>
        <v>2063</v>
      </c>
      <c r="BE23" s="152">
        <f t="shared" ref="BE23" si="29">BD23+1</f>
        <v>2064</v>
      </c>
      <c r="BF23" s="152">
        <f t="shared" ref="BF23" si="30">BE23+1</f>
        <v>2065</v>
      </c>
      <c r="BG23" s="152">
        <f t="shared" ref="BG23" si="31">BF23+1</f>
        <v>2066</v>
      </c>
      <c r="BH23" s="152">
        <f t="shared" ref="BH23:BI23" si="32">BG23+1</f>
        <v>2067</v>
      </c>
      <c r="BI23" s="152">
        <f t="shared" si="32"/>
        <v>2068</v>
      </c>
      <c r="BJ23" s="153" t="s">
        <v>146</v>
      </c>
    </row>
    <row r="24" spans="1:62">
      <c r="B24" s="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33" t="s">
        <v>146</v>
      </c>
    </row>
    <row r="25" spans="1:62">
      <c r="B25" s="155" t="s">
        <v>221</v>
      </c>
      <c r="C25" s="238">
        <f>'Financial Assumptions'!$C$10</f>
        <v>20</v>
      </c>
      <c r="D25" s="238">
        <f>'Financial Assumptions'!$C$11</f>
        <v>10</v>
      </c>
      <c r="E25" s="363">
        <v>2017</v>
      </c>
      <c r="F25" s="239"/>
      <c r="G25" s="240" t="str">
        <f>'Financial Assumptions'!$C$12</f>
        <v>Yes</v>
      </c>
      <c r="H25" s="240" t="str">
        <f>'Financial Assumptions'!$C$24</f>
        <v>Yes</v>
      </c>
      <c r="I25" s="368">
        <v>19793828.009456668</v>
      </c>
      <c r="J25" s="367"/>
      <c r="K25" s="367"/>
      <c r="L25" s="367"/>
      <c r="M25" s="367"/>
      <c r="N25" s="367"/>
      <c r="O25" s="367"/>
      <c r="P25" s="367"/>
      <c r="Q25" s="367"/>
      <c r="R25" s="367"/>
      <c r="S25" s="367"/>
      <c r="T25" s="367">
        <f>IF($E25=T$23,'[3]DC Switch Cost Benefit'!AW$17,0)</f>
        <v>0</v>
      </c>
      <c r="U25" s="367">
        <f>IF($E25=U$23,'[3]DC Switch Cost Benefit'!AX$17,0)</f>
        <v>0</v>
      </c>
      <c r="V25" s="367">
        <f>IF($E25=V$23,'[3]DC Switch Cost Benefit'!AY$17,0)</f>
        <v>0</v>
      </c>
      <c r="W25" s="364">
        <f>IF($E25=W$23,'[3]DC Switch Cost Benefit'!AZ$17,0)</f>
        <v>0</v>
      </c>
      <c r="X25" s="364">
        <f>IF($E25=X$23,'[3]DC Switch Cost Benefit'!BA$17,0)</f>
        <v>0</v>
      </c>
      <c r="Y25" s="364">
        <f>IF($E25=Y$23,'[3]DC Switch Cost Benefit'!BB$17,0)</f>
        <v>0</v>
      </c>
      <c r="Z25" s="364">
        <f>IF($E25=Z$23,'[3]DC Switch Cost Benefit'!BC$17,0)</f>
        <v>0</v>
      </c>
      <c r="AA25" s="364"/>
      <c r="AB25" s="364"/>
      <c r="AC25" s="364"/>
      <c r="AD25" s="364"/>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33" t="s">
        <v>146</v>
      </c>
    </row>
    <row r="26" spans="1:62">
      <c r="B26" s="155" t="s">
        <v>222</v>
      </c>
      <c r="C26" s="238">
        <f>'Financial Assumptions'!$C$10</f>
        <v>20</v>
      </c>
      <c r="D26" s="238">
        <f>'Financial Assumptions'!$C$11</f>
        <v>10</v>
      </c>
      <c r="E26" s="363">
        <v>2018</v>
      </c>
      <c r="F26" s="238"/>
      <c r="G26" s="238" t="str">
        <f>'Financial Assumptions'!$C$12</f>
        <v>Yes</v>
      </c>
      <c r="H26" s="238" t="str">
        <f>'Financial Assumptions'!$C$24</f>
        <v>Yes</v>
      </c>
      <c r="I26" s="367"/>
      <c r="J26" s="368">
        <v>32342118.307692379</v>
      </c>
      <c r="K26" s="367"/>
      <c r="L26" s="367"/>
      <c r="M26" s="367"/>
      <c r="N26" s="367"/>
      <c r="O26" s="367"/>
      <c r="P26" s="367"/>
      <c r="Q26" s="367"/>
      <c r="R26" s="367"/>
      <c r="S26" s="367"/>
      <c r="T26" s="367">
        <f>IF($E26=T$23,'[3]DC Switch Cost Benefit'!AW$17,0)</f>
        <v>0</v>
      </c>
      <c r="U26" s="367">
        <f>IF($E26=U$23,'[3]DC Switch Cost Benefit'!AX$17,0)</f>
        <v>0</v>
      </c>
      <c r="V26" s="367">
        <f>IF($E26=V$23,'[3]DC Switch Cost Benefit'!AY$17,0)</f>
        <v>0</v>
      </c>
      <c r="W26" s="364">
        <f>IF($E26=W$23,'[3]DC Switch Cost Benefit'!AZ$17,0)</f>
        <v>0</v>
      </c>
      <c r="X26" s="364">
        <f>IF($E26=X$23,'[3]DC Switch Cost Benefit'!BA$17,0)</f>
        <v>0</v>
      </c>
      <c r="Y26" s="364">
        <f>IF($E26=Y$23,'[3]DC Switch Cost Benefit'!BB$17,0)</f>
        <v>0</v>
      </c>
      <c r="Z26" s="364">
        <f>IF($E26=Z$23,'[3]DC Switch Cost Benefit'!BC$17,0)</f>
        <v>0</v>
      </c>
      <c r="AA26" s="364"/>
      <c r="AB26" s="364"/>
      <c r="AC26" s="364"/>
      <c r="AD26" s="364"/>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33" t="s">
        <v>146</v>
      </c>
    </row>
    <row r="27" spans="1:62">
      <c r="B27" s="155" t="s">
        <v>223</v>
      </c>
      <c r="C27" s="238">
        <f>'Financial Assumptions'!$C$10</f>
        <v>20</v>
      </c>
      <c r="D27" s="238">
        <f>'Financial Assumptions'!$C$11</f>
        <v>10</v>
      </c>
      <c r="E27" s="363">
        <v>2019</v>
      </c>
      <c r="F27" s="238"/>
      <c r="G27" s="238" t="str">
        <f>'Financial Assumptions'!$C$12</f>
        <v>Yes</v>
      </c>
      <c r="H27" s="238" t="str">
        <f>'Financial Assumptions'!$C$24</f>
        <v>Yes</v>
      </c>
      <c r="I27" s="367"/>
      <c r="J27" s="367"/>
      <c r="K27" s="368">
        <v>76704140.577343047</v>
      </c>
      <c r="L27" s="367"/>
      <c r="M27" s="367"/>
      <c r="N27" s="367"/>
      <c r="O27" s="367"/>
      <c r="P27" s="367"/>
      <c r="Q27" s="367"/>
      <c r="R27" s="367"/>
      <c r="S27" s="367"/>
      <c r="T27" s="367">
        <f>IF($E27=T$23,'[3]DC Switch Cost Benefit'!AW$17,0)</f>
        <v>0</v>
      </c>
      <c r="U27" s="367">
        <f>IF($E27=U$23,'[3]DC Switch Cost Benefit'!AX$17,0)</f>
        <v>0</v>
      </c>
      <c r="V27" s="367">
        <f>IF($E27=V$23,'[3]DC Switch Cost Benefit'!AY$17,0)</f>
        <v>0</v>
      </c>
      <c r="W27" s="364">
        <f>IF($E27=W$23,'[3]DC Switch Cost Benefit'!AZ$17,0)</f>
        <v>0</v>
      </c>
      <c r="X27" s="364">
        <f>IF($E27=X$23,'[3]DC Switch Cost Benefit'!BA$17,0)</f>
        <v>0</v>
      </c>
      <c r="Y27" s="364">
        <f>IF($E27=Y$23,'[3]DC Switch Cost Benefit'!BB$17,0)</f>
        <v>0</v>
      </c>
      <c r="Z27" s="364">
        <f>IF($E27=Z$23,'[3]DC Switch Cost Benefit'!BC$17,0)</f>
        <v>0</v>
      </c>
      <c r="AA27" s="364"/>
      <c r="AB27" s="364"/>
      <c r="AC27" s="364"/>
      <c r="AD27" s="364"/>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33" t="s">
        <v>146</v>
      </c>
    </row>
    <row r="28" spans="1:62">
      <c r="B28" s="155" t="s">
        <v>224</v>
      </c>
      <c r="C28" s="238">
        <f>'Financial Assumptions'!$C$10</f>
        <v>20</v>
      </c>
      <c r="D28" s="238">
        <f>'Financial Assumptions'!$C$11</f>
        <v>10</v>
      </c>
      <c r="E28" s="363">
        <v>2020</v>
      </c>
      <c r="F28" s="238"/>
      <c r="G28" s="238" t="str">
        <f>'Financial Assumptions'!$C$12</f>
        <v>Yes</v>
      </c>
      <c r="H28" s="238" t="str">
        <f>'Financial Assumptions'!$C$24</f>
        <v>Yes</v>
      </c>
      <c r="I28" s="367"/>
      <c r="J28" s="367"/>
      <c r="K28" s="367"/>
      <c r="L28" s="368">
        <v>63560675.937072933</v>
      </c>
      <c r="M28" s="367"/>
      <c r="N28" s="367"/>
      <c r="O28" s="367"/>
      <c r="P28" s="367"/>
      <c r="Q28" s="367"/>
      <c r="R28" s="367"/>
      <c r="S28" s="367"/>
      <c r="T28" s="367">
        <f>IF($E28=T$23,'[3]DC Switch Cost Benefit'!AW$17,0)</f>
        <v>0</v>
      </c>
      <c r="U28" s="367">
        <f>IF($E28=U$23,'[3]DC Switch Cost Benefit'!AX$17,0)</f>
        <v>0</v>
      </c>
      <c r="V28" s="367">
        <f>IF($E28=V$23,'[3]DC Switch Cost Benefit'!AY$17,0)</f>
        <v>0</v>
      </c>
      <c r="W28" s="364">
        <f>IF($E28=W$23,'[3]DC Switch Cost Benefit'!AZ$17,0)</f>
        <v>0</v>
      </c>
      <c r="X28" s="364">
        <f>IF($E28=X$23,'[3]DC Switch Cost Benefit'!BA$17,0)</f>
        <v>0</v>
      </c>
      <c r="Y28" s="364">
        <f>IF($E28=Y$23,'[3]DC Switch Cost Benefit'!BB$17,0)</f>
        <v>0</v>
      </c>
      <c r="Z28" s="364">
        <f>IF($E28=Z$23,'[3]DC Switch Cost Benefit'!BC$17,0)</f>
        <v>0</v>
      </c>
      <c r="AA28" s="364"/>
      <c r="AB28" s="364"/>
      <c r="AC28" s="364"/>
      <c r="AD28" s="364"/>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33" t="s">
        <v>146</v>
      </c>
    </row>
    <row r="29" spans="1:62">
      <c r="B29" s="155" t="s">
        <v>225</v>
      </c>
      <c r="C29" s="238">
        <f>'Financial Assumptions'!$C$10</f>
        <v>20</v>
      </c>
      <c r="D29" s="238">
        <f>'Financial Assumptions'!$C$11</f>
        <v>10</v>
      </c>
      <c r="E29" s="363">
        <v>2021</v>
      </c>
      <c r="F29" s="238"/>
      <c r="G29" s="238" t="str">
        <f>'Financial Assumptions'!$C$12</f>
        <v>Yes</v>
      </c>
      <c r="H29" s="238" t="str">
        <f>'Financial Assumptions'!$C$24</f>
        <v>Yes</v>
      </c>
      <c r="I29" s="367"/>
      <c r="J29" s="367"/>
      <c r="K29" s="367"/>
      <c r="L29" s="367"/>
      <c r="M29" s="368">
        <v>65786296.585617647</v>
      </c>
      <c r="N29" s="367"/>
      <c r="O29" s="367"/>
      <c r="P29" s="367"/>
      <c r="Q29" s="367"/>
      <c r="R29" s="367"/>
      <c r="S29" s="367"/>
      <c r="T29" s="367">
        <f>IF($E29=T$23,'[3]DC Switch Cost Benefit'!AW$17,0)</f>
        <v>0</v>
      </c>
      <c r="U29" s="367">
        <f>IF($E29=U$23,'[3]DC Switch Cost Benefit'!AX$17,0)</f>
        <v>0</v>
      </c>
      <c r="V29" s="367">
        <f>IF($E29=V$23,'[3]DC Switch Cost Benefit'!AY$17,0)</f>
        <v>0</v>
      </c>
      <c r="W29" s="364">
        <f>IF($E29=W$23,'[3]DC Switch Cost Benefit'!AZ$17,0)</f>
        <v>0</v>
      </c>
      <c r="X29" s="364">
        <f>IF($E29=X$23,'[3]DC Switch Cost Benefit'!BA$17,0)</f>
        <v>0</v>
      </c>
      <c r="Y29" s="364">
        <f>IF($E29=Y$23,'[3]DC Switch Cost Benefit'!BB$17,0)</f>
        <v>0</v>
      </c>
      <c r="Z29" s="364">
        <f>IF($E29=Z$23,'[3]DC Switch Cost Benefit'!BC$17,0)</f>
        <v>0</v>
      </c>
      <c r="AA29" s="364"/>
      <c r="AB29" s="364"/>
      <c r="AC29" s="364"/>
      <c r="AD29" s="364"/>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33" t="s">
        <v>146</v>
      </c>
    </row>
    <row r="30" spans="1:62">
      <c r="A30" s="82"/>
      <c r="B30" s="155" t="s">
        <v>226</v>
      </c>
      <c r="C30" s="238">
        <f>'Financial Assumptions'!$C$10</f>
        <v>20</v>
      </c>
      <c r="D30" s="238">
        <f>'Financial Assumptions'!$C$11</f>
        <v>10</v>
      </c>
      <c r="E30" s="363">
        <v>2022</v>
      </c>
      <c r="F30" s="238"/>
      <c r="G30" s="238" t="str">
        <f>'Financial Assumptions'!$C$12</f>
        <v>Yes</v>
      </c>
      <c r="H30" s="238" t="str">
        <f>'Financial Assumptions'!$C$24</f>
        <v>Yes</v>
      </c>
      <c r="I30" s="367"/>
      <c r="J30" s="367"/>
      <c r="K30" s="367"/>
      <c r="L30" s="367"/>
      <c r="M30" s="367"/>
      <c r="N30" s="368">
        <v>67759885.48318617</v>
      </c>
      <c r="O30" s="367"/>
      <c r="P30" s="367"/>
      <c r="Q30" s="367"/>
      <c r="R30" s="367"/>
      <c r="S30" s="367"/>
      <c r="T30" s="367">
        <f>IF($E30=T$23,'[3]DC Switch Cost Benefit'!AW$17,0)</f>
        <v>0</v>
      </c>
      <c r="U30" s="367">
        <f>IF($E30=U$23,'[3]DC Switch Cost Benefit'!AX$17,0)</f>
        <v>0</v>
      </c>
      <c r="V30" s="367">
        <f>IF($E30=V$23,'[3]DC Switch Cost Benefit'!AY$17,0)</f>
        <v>0</v>
      </c>
      <c r="W30" s="364">
        <f>IF($E30=W$23,'[3]DC Switch Cost Benefit'!AZ$17,0)</f>
        <v>0</v>
      </c>
      <c r="X30" s="364">
        <f>IF($E30=X$23,'[3]DC Switch Cost Benefit'!BA$17,0)</f>
        <v>0</v>
      </c>
      <c r="Y30" s="364">
        <f>IF($E30=Y$23,'[3]DC Switch Cost Benefit'!BB$17,0)</f>
        <v>0</v>
      </c>
      <c r="Z30" s="364">
        <f>IF($E30=Z$23,'[3]DC Switch Cost Benefit'!BC$17,0)</f>
        <v>0</v>
      </c>
      <c r="AA30" s="364"/>
      <c r="AB30" s="364"/>
      <c r="AC30" s="364"/>
      <c r="AD30" s="364"/>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33" t="s">
        <v>146</v>
      </c>
    </row>
    <row r="31" spans="1:62">
      <c r="B31" s="155" t="s">
        <v>227</v>
      </c>
      <c r="C31" s="238">
        <f>'Financial Assumptions'!$C$10</f>
        <v>20</v>
      </c>
      <c r="D31" s="238">
        <f>'Financial Assumptions'!$C$11</f>
        <v>10</v>
      </c>
      <c r="E31" s="363">
        <v>2023</v>
      </c>
      <c r="F31" s="238"/>
      <c r="G31" s="238" t="str">
        <f>'Financial Assumptions'!$C$12</f>
        <v>Yes</v>
      </c>
      <c r="H31" s="238" t="str">
        <f>'Financial Assumptions'!$C$24</f>
        <v>Yes</v>
      </c>
      <c r="I31" s="367"/>
      <c r="J31" s="367"/>
      <c r="K31" s="367"/>
      <c r="L31" s="367"/>
      <c r="M31" s="367"/>
      <c r="N31" s="367"/>
      <c r="O31" s="368">
        <v>69792682.047681749</v>
      </c>
      <c r="P31" s="367"/>
      <c r="Q31" s="367"/>
      <c r="R31" s="367"/>
      <c r="S31" s="367"/>
      <c r="T31" s="367">
        <f>IF($E31=T$23,'[3]DC Switch Cost Benefit'!AW$17,0)</f>
        <v>0</v>
      </c>
      <c r="U31" s="367">
        <f>IF($E31=U$23,'[3]DC Switch Cost Benefit'!AX$17,0)</f>
        <v>0</v>
      </c>
      <c r="V31" s="367">
        <f>IF($E31=V$23,'[3]DC Switch Cost Benefit'!AY$17,0)</f>
        <v>0</v>
      </c>
      <c r="W31" s="364">
        <f>IF($E31=W$23,'[3]DC Switch Cost Benefit'!AZ$17,0)</f>
        <v>0</v>
      </c>
      <c r="X31" s="364">
        <f>IF($E31=X$23,'[3]DC Switch Cost Benefit'!BA$17,0)</f>
        <v>0</v>
      </c>
      <c r="Y31" s="364">
        <f>IF($E31=Y$23,'[3]DC Switch Cost Benefit'!BB$17,0)</f>
        <v>0</v>
      </c>
      <c r="Z31" s="364">
        <f>IF($E31=Z$23,'[3]DC Switch Cost Benefit'!BC$17,0)</f>
        <v>0</v>
      </c>
      <c r="AA31" s="364"/>
      <c r="AB31" s="364"/>
      <c r="AC31" s="364"/>
      <c r="AD31" s="364"/>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33" t="s">
        <v>146</v>
      </c>
    </row>
    <row r="32" spans="1:62">
      <c r="B32" s="155" t="s">
        <v>228</v>
      </c>
      <c r="C32" s="238">
        <f>'Financial Assumptions'!$C$10</f>
        <v>20</v>
      </c>
      <c r="D32" s="238">
        <f>'Financial Assumptions'!$C$11</f>
        <v>10</v>
      </c>
      <c r="E32" s="363">
        <v>2024</v>
      </c>
      <c r="F32" s="238"/>
      <c r="G32" s="238" t="str">
        <f>'Financial Assumptions'!$C$12</f>
        <v>Yes</v>
      </c>
      <c r="H32" s="238" t="str">
        <f>'Financial Assumptions'!$C$24</f>
        <v>Yes</v>
      </c>
      <c r="I32" s="367"/>
      <c r="J32" s="367"/>
      <c r="K32" s="367"/>
      <c r="L32" s="367"/>
      <c r="M32" s="367"/>
      <c r="N32" s="367"/>
      <c r="O32" s="367"/>
      <c r="P32" s="368">
        <v>60300501.335585594</v>
      </c>
      <c r="Q32" s="367"/>
      <c r="R32" s="367"/>
      <c r="S32" s="367"/>
      <c r="T32" s="367">
        <f>IF($E32=T$23,'[3]DC Switch Cost Benefit'!AW$17,0)</f>
        <v>0</v>
      </c>
      <c r="U32" s="367">
        <f>IF($E32=U$23,'[3]DC Switch Cost Benefit'!AX$17,0)</f>
        <v>0</v>
      </c>
      <c r="V32" s="367">
        <f>IF($E32=V$23,'[3]DC Switch Cost Benefit'!AY$17,0)</f>
        <v>0</v>
      </c>
      <c r="W32" s="364">
        <f>IF($E32=W$23,'[3]DC Switch Cost Benefit'!AZ$17,0)</f>
        <v>0</v>
      </c>
      <c r="X32" s="364">
        <f>IF($E32=X$23,'[3]DC Switch Cost Benefit'!BA$17,0)</f>
        <v>0</v>
      </c>
      <c r="Y32" s="364">
        <f>IF($E32=Y$23,'[3]DC Switch Cost Benefit'!BB$17,0)</f>
        <v>0</v>
      </c>
      <c r="Z32" s="364">
        <f>IF($E32=Z$23,'[3]DC Switch Cost Benefit'!BC$17,0)</f>
        <v>0</v>
      </c>
      <c r="AA32" s="364"/>
      <c r="AB32" s="364"/>
      <c r="AC32" s="364"/>
      <c r="AD32" s="364"/>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33" t="s">
        <v>146</v>
      </c>
    </row>
    <row r="33" spans="1:62">
      <c r="B33" s="155" t="s">
        <v>31</v>
      </c>
      <c r="C33" s="238">
        <f>'Financial Assumptions'!$C$10</f>
        <v>20</v>
      </c>
      <c r="D33" s="238">
        <f>'Financial Assumptions'!$C$11</f>
        <v>10</v>
      </c>
      <c r="E33" s="363">
        <v>2025</v>
      </c>
      <c r="F33" s="238"/>
      <c r="G33" s="238" t="str">
        <f>'Financial Assumptions'!$C$12</f>
        <v>Yes</v>
      </c>
      <c r="H33" s="238" t="str">
        <f>'Financial Assumptions'!$C$24</f>
        <v>Yes</v>
      </c>
      <c r="I33" s="367"/>
      <c r="J33" s="367"/>
      <c r="K33" s="367"/>
      <c r="L33" s="367"/>
      <c r="M33" s="367"/>
      <c r="N33" s="367"/>
      <c r="O33" s="367"/>
      <c r="P33" s="367"/>
      <c r="Q33" s="368">
        <v>588642.75358512939</v>
      </c>
      <c r="R33" s="367"/>
      <c r="S33" s="367"/>
      <c r="T33" s="367">
        <f>IF($E33=T$23,'[3]DC Switch Cost Benefit'!AW$17,0)</f>
        <v>0</v>
      </c>
      <c r="U33" s="367">
        <f>IF($E33=U$23,'[3]DC Switch Cost Benefit'!AX$17,0)</f>
        <v>0</v>
      </c>
      <c r="V33" s="367">
        <f>IF($E33=V$23,'[3]DC Switch Cost Benefit'!AY$17,0)</f>
        <v>0</v>
      </c>
      <c r="W33" s="364">
        <f>IF($E33=W$23,'[3]DC Switch Cost Benefit'!AZ$17,0)</f>
        <v>0</v>
      </c>
      <c r="X33" s="364">
        <f>IF($E33=X$23,'[3]DC Switch Cost Benefit'!BA$17,0)</f>
        <v>0</v>
      </c>
      <c r="Y33" s="364">
        <f>IF($E33=Y$23,'[3]DC Switch Cost Benefit'!BB$17,0)</f>
        <v>0</v>
      </c>
      <c r="Z33" s="364">
        <f>IF($E33=Z$23,'[3]DC Switch Cost Benefit'!BC$17,0)</f>
        <v>0</v>
      </c>
      <c r="AA33" s="364"/>
      <c r="AB33" s="364"/>
      <c r="AC33" s="364"/>
      <c r="AD33" s="364"/>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33" t="s">
        <v>146</v>
      </c>
    </row>
    <row r="34" spans="1:62">
      <c r="B34" s="155" t="s">
        <v>229</v>
      </c>
      <c r="C34" s="238">
        <f>'Financial Assumptions'!$C$10</f>
        <v>20</v>
      </c>
      <c r="D34" s="238">
        <f>'Financial Assumptions'!$C$11</f>
        <v>10</v>
      </c>
      <c r="E34" s="363">
        <v>2026</v>
      </c>
      <c r="F34" s="239"/>
      <c r="G34" s="240" t="str">
        <f>'Financial Assumptions'!$C$12</f>
        <v>Yes</v>
      </c>
      <c r="H34" s="240" t="str">
        <f>'Financial Assumptions'!$C$24</f>
        <v>Yes</v>
      </c>
      <c r="I34" s="367"/>
      <c r="J34" s="367"/>
      <c r="K34" s="367"/>
      <c r="L34" s="367"/>
      <c r="M34" s="367"/>
      <c r="N34" s="367"/>
      <c r="O34" s="367"/>
      <c r="P34" s="367"/>
      <c r="Q34" s="367"/>
      <c r="R34" s="368">
        <v>502476.37930266297</v>
      </c>
      <c r="S34" s="367"/>
      <c r="T34" s="367">
        <f>IF($E34=T$23,'[3]DC Switch Cost Benefit'!AW$17,0)</f>
        <v>0</v>
      </c>
      <c r="U34" s="367">
        <f>IF($E34=U$23,'[3]DC Switch Cost Benefit'!AX$17,0)</f>
        <v>0</v>
      </c>
      <c r="V34" s="367">
        <f>IF($E34=V$23,'[3]DC Switch Cost Benefit'!AY$17,0)</f>
        <v>0</v>
      </c>
      <c r="W34" s="364">
        <f>IF($E34=W$23,'[3]DC Switch Cost Benefit'!AZ$17,0)</f>
        <v>0</v>
      </c>
      <c r="X34" s="364">
        <f>IF($E34=X$23,'[3]DC Switch Cost Benefit'!BA$17,0)</f>
        <v>0</v>
      </c>
      <c r="Y34" s="364">
        <f>IF($E34=Y$23,'[3]DC Switch Cost Benefit'!BB$17,0)</f>
        <v>0</v>
      </c>
      <c r="Z34" s="364">
        <f>IF($E34=Z$23,'[3]DC Switch Cost Benefit'!BC$17,0)</f>
        <v>0</v>
      </c>
      <c r="AA34" s="364"/>
      <c r="AB34" s="364"/>
      <c r="AC34" s="364"/>
      <c r="AD34" s="364"/>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7"/>
      <c r="BJ34" s="133" t="s">
        <v>146</v>
      </c>
    </row>
    <row r="35" spans="1:62">
      <c r="B35" s="155" t="s">
        <v>230</v>
      </c>
      <c r="C35" s="238">
        <f>'Financial Assumptions'!$C$10</f>
        <v>20</v>
      </c>
      <c r="D35" s="238">
        <f>'Financial Assumptions'!$C$11</f>
        <v>10</v>
      </c>
      <c r="E35" s="363">
        <v>2027</v>
      </c>
      <c r="F35" s="238"/>
      <c r="G35" s="238" t="str">
        <f>'Financial Assumptions'!$C$12</f>
        <v>Yes</v>
      </c>
      <c r="H35" s="238" t="str">
        <f>'Financial Assumptions'!$C$24</f>
        <v>Yes</v>
      </c>
      <c r="I35" s="367"/>
      <c r="J35" s="367"/>
      <c r="K35" s="367"/>
      <c r="L35" s="367"/>
      <c r="M35" s="367"/>
      <c r="N35" s="367"/>
      <c r="O35" s="367"/>
      <c r="P35" s="367"/>
      <c r="Q35" s="367"/>
      <c r="R35" s="367"/>
      <c r="S35" s="368">
        <v>507828.81371840462</v>
      </c>
      <c r="T35" s="367"/>
      <c r="U35" s="367">
        <f>IF($E35=U$23,'[3]DC Switch Cost Benefit'!AX$17,0)</f>
        <v>0</v>
      </c>
      <c r="V35" s="367">
        <f>IF($E35=V$23,'[3]DC Switch Cost Benefit'!AY$17,0)</f>
        <v>0</v>
      </c>
      <c r="W35" s="364">
        <f>IF($E35=W$23,'[3]DC Switch Cost Benefit'!AZ$17,0)</f>
        <v>0</v>
      </c>
      <c r="X35" s="364">
        <f>IF($E35=X$23,'[3]DC Switch Cost Benefit'!BA$17,0)</f>
        <v>0</v>
      </c>
      <c r="Y35" s="364">
        <f>IF($E35=Y$23,'[3]DC Switch Cost Benefit'!BB$17,0)</f>
        <v>0</v>
      </c>
      <c r="Z35" s="364">
        <f>IF($E35=Z$23,'[3]DC Switch Cost Benefit'!BC$17,0)</f>
        <v>0</v>
      </c>
      <c r="AA35" s="364"/>
      <c r="AB35" s="364"/>
      <c r="AC35" s="364"/>
      <c r="AD35" s="364"/>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33" t="s">
        <v>146</v>
      </c>
    </row>
    <row r="36" spans="1:62">
      <c r="B36" s="155" t="s">
        <v>234</v>
      </c>
      <c r="C36" s="238">
        <f>'Financial Assumptions'!$C$10</f>
        <v>20</v>
      </c>
      <c r="D36" s="238">
        <f>'Financial Assumptions'!$C$11</f>
        <v>10</v>
      </c>
      <c r="E36" s="363">
        <v>2028</v>
      </c>
      <c r="F36" s="238"/>
      <c r="G36" s="238" t="str">
        <f>'Financial Assumptions'!$C$12</f>
        <v>Yes</v>
      </c>
      <c r="H36" s="238" t="str">
        <f>'Financial Assumptions'!$C$24</f>
        <v>Yes</v>
      </c>
      <c r="I36" s="367"/>
      <c r="J36" s="367"/>
      <c r="K36" s="367"/>
      <c r="L36" s="367"/>
      <c r="M36" s="367"/>
      <c r="N36" s="367"/>
      <c r="O36" s="367"/>
      <c r="P36" s="367"/>
      <c r="Q36" s="367"/>
      <c r="R36" s="367"/>
      <c r="S36" s="367"/>
      <c r="T36" s="368">
        <v>523063.67812995671</v>
      </c>
      <c r="U36" s="367">
        <f>IF($E36=U$23,'[3]DC Switch Cost Benefit'!AX$17,0)</f>
        <v>0</v>
      </c>
      <c r="V36" s="367">
        <f>IF($E36=V$23,'[3]DC Switch Cost Benefit'!AY$17,0)</f>
        <v>0</v>
      </c>
      <c r="W36" s="364">
        <f>IF($E36=W$23,'[3]DC Switch Cost Benefit'!AZ$17,0)</f>
        <v>0</v>
      </c>
      <c r="X36" s="364">
        <f>IF($E36=X$23,'[3]DC Switch Cost Benefit'!BA$17,0)</f>
        <v>0</v>
      </c>
      <c r="Y36" s="364">
        <f>IF($E36=Y$23,'[3]DC Switch Cost Benefit'!BB$17,0)</f>
        <v>0</v>
      </c>
      <c r="Z36" s="364">
        <f>IF($E36=Z$23,'[3]DC Switch Cost Benefit'!BC$17,0)</f>
        <v>0</v>
      </c>
      <c r="AA36" s="364"/>
      <c r="AB36" s="364"/>
      <c r="AC36" s="364"/>
      <c r="AD36" s="364"/>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33" t="s">
        <v>146</v>
      </c>
    </row>
    <row r="37" spans="1:62" s="138" customFormat="1">
      <c r="A37" s="85"/>
      <c r="B37" s="141" t="s">
        <v>32</v>
      </c>
      <c r="C37" s="142"/>
      <c r="D37" s="142"/>
      <c r="E37" s="142"/>
      <c r="F37" s="142"/>
      <c r="G37" s="142"/>
      <c r="H37" s="142"/>
      <c r="I37" s="158">
        <f>SUM(I25:I36)</f>
        <v>19793828.009456668</v>
      </c>
      <c r="J37" s="158">
        <f t="shared" ref="J37:AN37" si="33">SUM(J25:J36)</f>
        <v>32342118.307692379</v>
      </c>
      <c r="K37" s="158">
        <f t="shared" si="33"/>
        <v>76704140.577343047</v>
      </c>
      <c r="L37" s="158">
        <f t="shared" si="33"/>
        <v>63560675.937072933</v>
      </c>
      <c r="M37" s="158">
        <f t="shared" si="33"/>
        <v>65786296.585617647</v>
      </c>
      <c r="N37" s="158">
        <f t="shared" si="33"/>
        <v>67759885.48318617</v>
      </c>
      <c r="O37" s="158">
        <f t="shared" si="33"/>
        <v>69792682.047681749</v>
      </c>
      <c r="P37" s="158">
        <f t="shared" si="33"/>
        <v>60300501.335585594</v>
      </c>
      <c r="Q37" s="158">
        <f t="shared" si="33"/>
        <v>588642.75358512939</v>
      </c>
      <c r="R37" s="158">
        <f t="shared" si="33"/>
        <v>502476.37930266297</v>
      </c>
      <c r="S37" s="158">
        <f t="shared" si="33"/>
        <v>507828.81371840462</v>
      </c>
      <c r="T37" s="158">
        <f>SUM(T25:T36)</f>
        <v>523063.67812995671</v>
      </c>
      <c r="U37" s="158">
        <f t="shared" si="33"/>
        <v>0</v>
      </c>
      <c r="V37" s="158">
        <f t="shared" si="33"/>
        <v>0</v>
      </c>
      <c r="W37" s="158">
        <f t="shared" si="33"/>
        <v>0</v>
      </c>
      <c r="X37" s="158">
        <f t="shared" si="33"/>
        <v>0</v>
      </c>
      <c r="Y37" s="158">
        <f t="shared" si="33"/>
        <v>0</v>
      </c>
      <c r="Z37" s="158">
        <f t="shared" si="33"/>
        <v>0</v>
      </c>
      <c r="AA37" s="158">
        <f t="shared" si="33"/>
        <v>0</v>
      </c>
      <c r="AB37" s="158">
        <f t="shared" si="33"/>
        <v>0</v>
      </c>
      <c r="AC37" s="158">
        <f t="shared" si="33"/>
        <v>0</v>
      </c>
      <c r="AD37" s="158">
        <f t="shared" si="33"/>
        <v>0</v>
      </c>
      <c r="AE37" s="158">
        <f t="shared" si="33"/>
        <v>0</v>
      </c>
      <c r="AF37" s="158">
        <f t="shared" si="33"/>
        <v>0</v>
      </c>
      <c r="AG37" s="158">
        <f t="shared" si="33"/>
        <v>0</v>
      </c>
      <c r="AH37" s="158">
        <f t="shared" si="33"/>
        <v>0</v>
      </c>
      <c r="AI37" s="158">
        <f t="shared" si="33"/>
        <v>0</v>
      </c>
      <c r="AJ37" s="158">
        <f t="shared" si="33"/>
        <v>0</v>
      </c>
      <c r="AK37" s="158">
        <f t="shared" si="33"/>
        <v>0</v>
      </c>
      <c r="AL37" s="158">
        <f t="shared" si="33"/>
        <v>0</v>
      </c>
      <c r="AM37" s="158">
        <f t="shared" si="33"/>
        <v>0</v>
      </c>
      <c r="AN37" s="158">
        <f t="shared" si="33"/>
        <v>0</v>
      </c>
      <c r="AO37" s="158">
        <f t="shared" ref="AO37:BI37" si="34">SUM(AO25:AO36)</f>
        <v>0</v>
      </c>
      <c r="AP37" s="158">
        <f t="shared" si="34"/>
        <v>0</v>
      </c>
      <c r="AQ37" s="158">
        <f t="shared" si="34"/>
        <v>0</v>
      </c>
      <c r="AR37" s="158">
        <f t="shared" si="34"/>
        <v>0</v>
      </c>
      <c r="AS37" s="158">
        <f t="shared" si="34"/>
        <v>0</v>
      </c>
      <c r="AT37" s="158">
        <f t="shared" si="34"/>
        <v>0</v>
      </c>
      <c r="AU37" s="158">
        <f t="shared" si="34"/>
        <v>0</v>
      </c>
      <c r="AV37" s="158">
        <f t="shared" si="34"/>
        <v>0</v>
      </c>
      <c r="AW37" s="158">
        <f t="shared" si="34"/>
        <v>0</v>
      </c>
      <c r="AX37" s="158">
        <f t="shared" si="34"/>
        <v>0</v>
      </c>
      <c r="AY37" s="158">
        <f t="shared" si="34"/>
        <v>0</v>
      </c>
      <c r="AZ37" s="158">
        <f t="shared" si="34"/>
        <v>0</v>
      </c>
      <c r="BA37" s="158">
        <f t="shared" si="34"/>
        <v>0</v>
      </c>
      <c r="BB37" s="158">
        <f t="shared" si="34"/>
        <v>0</v>
      </c>
      <c r="BC37" s="158">
        <f t="shared" si="34"/>
        <v>0</v>
      </c>
      <c r="BD37" s="158">
        <f t="shared" si="34"/>
        <v>0</v>
      </c>
      <c r="BE37" s="158">
        <f t="shared" si="34"/>
        <v>0</v>
      </c>
      <c r="BF37" s="158">
        <f t="shared" si="34"/>
        <v>0</v>
      </c>
      <c r="BG37" s="158">
        <f t="shared" si="34"/>
        <v>0</v>
      </c>
      <c r="BH37" s="158">
        <f t="shared" si="34"/>
        <v>0</v>
      </c>
      <c r="BI37" s="158">
        <f t="shared" si="34"/>
        <v>0</v>
      </c>
      <c r="BJ37" s="158"/>
    </row>
    <row r="38" spans="1:62">
      <c r="B38" s="18"/>
      <c r="BJ38" s="133" t="s">
        <v>146</v>
      </c>
    </row>
    <row r="39" spans="1:62">
      <c r="B39" s="216" t="s">
        <v>218</v>
      </c>
      <c r="BJ39" s="133" t="s">
        <v>146</v>
      </c>
    </row>
    <row r="40" spans="1:62">
      <c r="B40" s="216" t="s">
        <v>155</v>
      </c>
      <c r="BJ40" s="133" t="s">
        <v>146</v>
      </c>
    </row>
    <row r="41" spans="1:62">
      <c r="BJ41" s="133" t="s">
        <v>146</v>
      </c>
    </row>
    <row r="42" spans="1:62">
      <c r="BJ42" s="133" t="s">
        <v>146</v>
      </c>
    </row>
    <row r="43" spans="1:62">
      <c r="BJ43" s="133" t="s">
        <v>146</v>
      </c>
    </row>
    <row r="44" spans="1:62">
      <c r="I44" s="369"/>
      <c r="J44" s="369"/>
      <c r="K44" s="369"/>
      <c r="L44" s="369"/>
      <c r="M44" s="369"/>
      <c r="N44" s="369"/>
      <c r="O44" s="369"/>
      <c r="P44" s="369"/>
      <c r="Q44" s="369"/>
      <c r="R44" s="369"/>
      <c r="S44" s="369"/>
      <c r="T44" s="369"/>
      <c r="BJ44" s="133" t="s">
        <v>146</v>
      </c>
    </row>
    <row r="45" spans="1:62">
      <c r="BJ45" s="133" t="s">
        <v>146</v>
      </c>
    </row>
    <row r="46" spans="1:62">
      <c r="BJ46" s="133" t="s">
        <v>146</v>
      </c>
    </row>
    <row r="47" spans="1:62">
      <c r="BJ47" s="133" t="s">
        <v>146</v>
      </c>
    </row>
    <row r="48" spans="1:62">
      <c r="BJ48" s="133" t="s">
        <v>146</v>
      </c>
    </row>
    <row r="49" spans="1:62">
      <c r="BJ49" s="133" t="s">
        <v>146</v>
      </c>
    </row>
    <row r="50" spans="1:62">
      <c r="BJ50" s="133" t="s">
        <v>146</v>
      </c>
    </row>
    <row r="51" spans="1:62">
      <c r="BJ51" s="133" t="s">
        <v>146</v>
      </c>
    </row>
    <row r="52" spans="1:62">
      <c r="BJ52" s="133" t="s">
        <v>146</v>
      </c>
    </row>
    <row r="53" spans="1:62">
      <c r="BJ53" s="133" t="s">
        <v>146</v>
      </c>
    </row>
    <row r="54" spans="1:62">
      <c r="BJ54" s="133" t="s">
        <v>146</v>
      </c>
    </row>
    <row r="55" spans="1:62">
      <c r="BJ55" s="133" t="s">
        <v>146</v>
      </c>
    </row>
    <row r="56" spans="1:62">
      <c r="A56" s="52"/>
      <c r="BJ56" s="133" t="s">
        <v>146</v>
      </c>
    </row>
    <row r="57" spans="1:62">
      <c r="BJ57" s="133" t="s">
        <v>146</v>
      </c>
    </row>
    <row r="58" spans="1:62">
      <c r="BJ58" s="133" t="s">
        <v>146</v>
      </c>
    </row>
    <row r="59" spans="1:62">
      <c r="BJ59" s="133" t="s">
        <v>146</v>
      </c>
    </row>
    <row r="60" spans="1:62">
      <c r="BJ60" s="133" t="s">
        <v>146</v>
      </c>
    </row>
    <row r="61" spans="1:62">
      <c r="BJ61" s="133" t="s">
        <v>146</v>
      </c>
    </row>
    <row r="62" spans="1:62">
      <c r="BJ62" s="133" t="s">
        <v>146</v>
      </c>
    </row>
    <row r="63" spans="1:62">
      <c r="BJ63" s="133" t="s">
        <v>146</v>
      </c>
    </row>
    <row r="64" spans="1:62">
      <c r="BJ64" s="133" t="s">
        <v>146</v>
      </c>
    </row>
    <row r="65" spans="62:62">
      <c r="BJ65" s="133" t="s">
        <v>146</v>
      </c>
    </row>
    <row r="66" spans="62:62">
      <c r="BJ66" s="133" t="s">
        <v>146</v>
      </c>
    </row>
    <row r="67" spans="62:62">
      <c r="BJ67" s="133" t="s">
        <v>146</v>
      </c>
    </row>
    <row r="68" spans="62:62">
      <c r="BJ68" s="133" t="s">
        <v>146</v>
      </c>
    </row>
    <row r="69" spans="62:62">
      <c r="BJ69" s="133" t="s">
        <v>146</v>
      </c>
    </row>
    <row r="70" spans="62:62">
      <c r="BJ70" s="133" t="s">
        <v>146</v>
      </c>
    </row>
    <row r="71" spans="62:62">
      <c r="BJ71" s="133" t="s">
        <v>146</v>
      </c>
    </row>
    <row r="72" spans="62:62">
      <c r="BJ72" s="133" t="s">
        <v>146</v>
      </c>
    </row>
    <row r="73" spans="62:62">
      <c r="BJ73" s="133" t="s">
        <v>146</v>
      </c>
    </row>
    <row r="74" spans="62:62">
      <c r="BJ74" s="133" t="s">
        <v>146</v>
      </c>
    </row>
    <row r="75" spans="62:62">
      <c r="BJ75" s="133" t="s">
        <v>146</v>
      </c>
    </row>
  </sheetData>
  <dataValidations disablePrompts="1" count="2">
    <dataValidation type="list" allowBlank="1" showInputMessage="1" showErrorMessage="1" sqref="H25:H36" xr:uid="{00000000-0002-0000-0200-000000000000}">
      <formula1>"Yes,No"</formula1>
    </dataValidation>
    <dataValidation type="whole" allowBlank="1" showInputMessage="1" showErrorMessage="1" sqref="F25:F36" xr:uid="{00000000-0002-0000-0200-000001000000}">
      <formula1>0</formula1>
      <formula2>12</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BE92"/>
  <sheetViews>
    <sheetView showGridLines="0" zoomScale="120" zoomScaleNormal="120" workbookViewId="0">
      <selection activeCell="D6" sqref="D6"/>
    </sheetView>
  </sheetViews>
  <sheetFormatPr defaultColWidth="11.453125" defaultRowHeight="14.5" outlineLevelRow="1"/>
  <cols>
    <col min="1" max="1" width="2" style="49" customWidth="1"/>
    <col min="2" max="2" width="49.7265625" style="48" bestFit="1" customWidth="1"/>
    <col min="3" max="3" width="12" style="48" bestFit="1" customWidth="1"/>
    <col min="4" max="45" width="13" style="48" bestFit="1" customWidth="1"/>
    <col min="46" max="46" width="14" style="48" bestFit="1" customWidth="1"/>
    <col min="47" max="55" width="13" style="48" bestFit="1" customWidth="1"/>
    <col min="56" max="57" width="11.453125" style="55"/>
    <col min="58" max="16384" width="11.453125" style="48"/>
  </cols>
  <sheetData>
    <row r="2" spans="1:57">
      <c r="B2" s="276" t="str">
        <f>Project_Description</f>
        <v xml:space="preserve">AMI Model </v>
      </c>
    </row>
    <row r="3" spans="1:57">
      <c r="B3" s="60" t="s">
        <v>125</v>
      </c>
      <c r="C3" s="61"/>
      <c r="D3" s="325">
        <f>IF(D30&lt;0.5,IF(C30&gt;0,"fully depreciated",0),0)</f>
        <v>0</v>
      </c>
      <c r="E3" s="325">
        <f t="shared" ref="E3:BC3" si="0">IF(E30&lt;0.5,IF(D30&gt;0,"fully depreciated",0),0)</f>
        <v>0</v>
      </c>
      <c r="F3" s="325">
        <f t="shared" si="0"/>
        <v>0</v>
      </c>
      <c r="G3" s="325">
        <f t="shared" si="0"/>
        <v>0</v>
      </c>
      <c r="H3" s="325">
        <f t="shared" si="0"/>
        <v>0</v>
      </c>
      <c r="I3" s="325">
        <f t="shared" si="0"/>
        <v>0</v>
      </c>
      <c r="J3" s="325">
        <f t="shared" si="0"/>
        <v>0</v>
      </c>
      <c r="K3" s="325">
        <f t="shared" si="0"/>
        <v>0</v>
      </c>
      <c r="L3" s="325">
        <f t="shared" si="0"/>
        <v>0</v>
      </c>
      <c r="M3" s="325">
        <f t="shared" si="0"/>
        <v>0</v>
      </c>
      <c r="N3" s="325">
        <f t="shared" si="0"/>
        <v>0</v>
      </c>
      <c r="O3" s="325">
        <f t="shared" si="0"/>
        <v>0</v>
      </c>
      <c r="P3" s="325">
        <f t="shared" si="0"/>
        <v>0</v>
      </c>
      <c r="Q3" s="325">
        <f t="shared" si="0"/>
        <v>0</v>
      </c>
      <c r="R3" s="325">
        <f t="shared" si="0"/>
        <v>0</v>
      </c>
      <c r="S3" s="325">
        <f t="shared" si="0"/>
        <v>0</v>
      </c>
      <c r="T3" s="325">
        <f t="shared" si="0"/>
        <v>0</v>
      </c>
      <c r="U3" s="325">
        <f t="shared" si="0"/>
        <v>0</v>
      </c>
      <c r="V3" s="325">
        <f t="shared" si="0"/>
        <v>0</v>
      </c>
      <c r="W3" s="325">
        <f t="shared" si="0"/>
        <v>0</v>
      </c>
      <c r="X3" s="325">
        <f t="shared" si="0"/>
        <v>0</v>
      </c>
      <c r="Y3" s="325">
        <f t="shared" si="0"/>
        <v>0</v>
      </c>
      <c r="Z3" s="325">
        <f t="shared" si="0"/>
        <v>0</v>
      </c>
      <c r="AA3" s="325">
        <f t="shared" si="0"/>
        <v>0</v>
      </c>
      <c r="AB3" s="325">
        <f t="shared" si="0"/>
        <v>0</v>
      </c>
      <c r="AC3" s="325">
        <f t="shared" si="0"/>
        <v>0</v>
      </c>
      <c r="AD3" s="325">
        <f t="shared" si="0"/>
        <v>0</v>
      </c>
      <c r="AE3" s="325">
        <f t="shared" si="0"/>
        <v>0</v>
      </c>
      <c r="AF3" s="325">
        <f t="shared" si="0"/>
        <v>0</v>
      </c>
      <c r="AG3" s="325">
        <f t="shared" si="0"/>
        <v>0</v>
      </c>
      <c r="AH3" s="325">
        <f t="shared" si="0"/>
        <v>0</v>
      </c>
      <c r="AI3" s="325">
        <f t="shared" si="0"/>
        <v>0</v>
      </c>
      <c r="AJ3" s="325" t="str">
        <f t="shared" si="0"/>
        <v>fully depreciated</v>
      </c>
      <c r="AK3" s="325" t="str">
        <f t="shared" si="0"/>
        <v>fully depreciated</v>
      </c>
      <c r="AL3" s="325" t="str">
        <f t="shared" si="0"/>
        <v>fully depreciated</v>
      </c>
      <c r="AM3" s="325" t="str">
        <f t="shared" si="0"/>
        <v>fully depreciated</v>
      </c>
      <c r="AN3" s="325" t="str">
        <f t="shared" si="0"/>
        <v>fully depreciated</v>
      </c>
      <c r="AO3" s="325" t="str">
        <f t="shared" si="0"/>
        <v>fully depreciated</v>
      </c>
      <c r="AP3" s="325" t="str">
        <f t="shared" si="0"/>
        <v>fully depreciated</v>
      </c>
      <c r="AQ3" s="325" t="str">
        <f t="shared" si="0"/>
        <v>fully depreciated</v>
      </c>
      <c r="AR3" s="325" t="str">
        <f t="shared" si="0"/>
        <v>fully depreciated</v>
      </c>
      <c r="AS3" s="325" t="str">
        <f t="shared" si="0"/>
        <v>fully depreciated</v>
      </c>
      <c r="AT3" s="325" t="str">
        <f t="shared" si="0"/>
        <v>fully depreciated</v>
      </c>
      <c r="AU3" s="325" t="str">
        <f t="shared" si="0"/>
        <v>fully depreciated</v>
      </c>
      <c r="AV3" s="325" t="str">
        <f t="shared" si="0"/>
        <v>fully depreciated</v>
      </c>
      <c r="AW3" s="325" t="str">
        <f t="shared" si="0"/>
        <v>fully depreciated</v>
      </c>
      <c r="AX3" s="325" t="str">
        <f t="shared" si="0"/>
        <v>fully depreciated</v>
      </c>
      <c r="AY3" s="325" t="str">
        <f t="shared" si="0"/>
        <v>fully depreciated</v>
      </c>
      <c r="AZ3" s="325" t="str">
        <f t="shared" si="0"/>
        <v>fully depreciated</v>
      </c>
      <c r="BA3" s="325" t="str">
        <f t="shared" si="0"/>
        <v>fully depreciated</v>
      </c>
      <c r="BB3" s="325" t="str">
        <f t="shared" si="0"/>
        <v>fully depreciated</v>
      </c>
      <c r="BC3" s="325" t="str">
        <f t="shared" si="0"/>
        <v>fully depreciated</v>
      </c>
    </row>
    <row r="4" spans="1:57" s="225" customFormat="1">
      <c r="A4" s="50"/>
      <c r="B4" s="62"/>
      <c r="C4" s="223">
        <f>Start_Year</f>
        <v>2016</v>
      </c>
      <c r="D4" s="223">
        <f t="shared" ref="D4:AO4" si="1">C4+1</f>
        <v>2017</v>
      </c>
      <c r="E4" s="223">
        <f t="shared" si="1"/>
        <v>2018</v>
      </c>
      <c r="F4" s="223">
        <f t="shared" si="1"/>
        <v>2019</v>
      </c>
      <c r="G4" s="223">
        <f t="shared" si="1"/>
        <v>2020</v>
      </c>
      <c r="H4" s="223">
        <f t="shared" si="1"/>
        <v>2021</v>
      </c>
      <c r="I4" s="223">
        <f t="shared" si="1"/>
        <v>2022</v>
      </c>
      <c r="J4" s="223">
        <f t="shared" si="1"/>
        <v>2023</v>
      </c>
      <c r="K4" s="223">
        <f t="shared" si="1"/>
        <v>2024</v>
      </c>
      <c r="L4" s="223">
        <f t="shared" si="1"/>
        <v>2025</v>
      </c>
      <c r="M4" s="223">
        <f t="shared" si="1"/>
        <v>2026</v>
      </c>
      <c r="N4" s="223">
        <f t="shared" si="1"/>
        <v>2027</v>
      </c>
      <c r="O4" s="223">
        <f t="shared" si="1"/>
        <v>2028</v>
      </c>
      <c r="P4" s="223">
        <f t="shared" si="1"/>
        <v>2029</v>
      </c>
      <c r="Q4" s="223">
        <f t="shared" si="1"/>
        <v>2030</v>
      </c>
      <c r="R4" s="223">
        <f t="shared" si="1"/>
        <v>2031</v>
      </c>
      <c r="S4" s="223">
        <f t="shared" si="1"/>
        <v>2032</v>
      </c>
      <c r="T4" s="223">
        <f t="shared" si="1"/>
        <v>2033</v>
      </c>
      <c r="U4" s="223">
        <f t="shared" si="1"/>
        <v>2034</v>
      </c>
      <c r="V4" s="223">
        <f t="shared" si="1"/>
        <v>2035</v>
      </c>
      <c r="W4" s="223">
        <f t="shared" si="1"/>
        <v>2036</v>
      </c>
      <c r="X4" s="223">
        <f t="shared" si="1"/>
        <v>2037</v>
      </c>
      <c r="Y4" s="223">
        <f t="shared" si="1"/>
        <v>2038</v>
      </c>
      <c r="Z4" s="223">
        <f t="shared" si="1"/>
        <v>2039</v>
      </c>
      <c r="AA4" s="223">
        <f t="shared" si="1"/>
        <v>2040</v>
      </c>
      <c r="AB4" s="223">
        <f t="shared" si="1"/>
        <v>2041</v>
      </c>
      <c r="AC4" s="223">
        <f t="shared" si="1"/>
        <v>2042</v>
      </c>
      <c r="AD4" s="223">
        <f t="shared" si="1"/>
        <v>2043</v>
      </c>
      <c r="AE4" s="223">
        <f t="shared" si="1"/>
        <v>2044</v>
      </c>
      <c r="AF4" s="223">
        <f t="shared" si="1"/>
        <v>2045</v>
      </c>
      <c r="AG4" s="223">
        <f t="shared" si="1"/>
        <v>2046</v>
      </c>
      <c r="AH4" s="223">
        <f t="shared" si="1"/>
        <v>2047</v>
      </c>
      <c r="AI4" s="223">
        <f t="shared" si="1"/>
        <v>2048</v>
      </c>
      <c r="AJ4" s="223">
        <f t="shared" si="1"/>
        <v>2049</v>
      </c>
      <c r="AK4" s="223">
        <f t="shared" si="1"/>
        <v>2050</v>
      </c>
      <c r="AL4" s="223">
        <f t="shared" si="1"/>
        <v>2051</v>
      </c>
      <c r="AM4" s="223">
        <f t="shared" si="1"/>
        <v>2052</v>
      </c>
      <c r="AN4" s="223">
        <f t="shared" si="1"/>
        <v>2053</v>
      </c>
      <c r="AO4" s="223">
        <f t="shared" si="1"/>
        <v>2054</v>
      </c>
      <c r="AP4" s="223">
        <f t="shared" ref="AP4" si="2">AO4+1</f>
        <v>2055</v>
      </c>
      <c r="AQ4" s="223">
        <f t="shared" ref="AQ4" si="3">AP4+1</f>
        <v>2056</v>
      </c>
      <c r="AR4" s="223">
        <f t="shared" ref="AR4" si="4">AQ4+1</f>
        <v>2057</v>
      </c>
      <c r="AS4" s="223">
        <f t="shared" ref="AS4" si="5">AR4+1</f>
        <v>2058</v>
      </c>
      <c r="AT4" s="223">
        <f t="shared" ref="AT4" si="6">AS4+1</f>
        <v>2059</v>
      </c>
      <c r="AU4" s="223">
        <f t="shared" ref="AU4" si="7">AT4+1</f>
        <v>2060</v>
      </c>
      <c r="AV4" s="223">
        <f t="shared" ref="AV4" si="8">AU4+1</f>
        <v>2061</v>
      </c>
      <c r="AW4" s="223">
        <f t="shared" ref="AW4" si="9">AV4+1</f>
        <v>2062</v>
      </c>
      <c r="AX4" s="223">
        <f t="shared" ref="AX4" si="10">AW4+1</f>
        <v>2063</v>
      </c>
      <c r="AY4" s="223">
        <f t="shared" ref="AY4" si="11">AX4+1</f>
        <v>2064</v>
      </c>
      <c r="AZ4" s="223">
        <f t="shared" ref="AZ4" si="12">AY4+1</f>
        <v>2065</v>
      </c>
      <c r="BA4" s="223">
        <f t="shared" ref="BA4" si="13">AZ4+1</f>
        <v>2066</v>
      </c>
      <c r="BB4" s="223">
        <f t="shared" ref="BB4:BC4" si="14">BA4+1</f>
        <v>2067</v>
      </c>
      <c r="BC4" s="223">
        <f t="shared" si="14"/>
        <v>2068</v>
      </c>
      <c r="BD4" s="224"/>
      <c r="BE4" s="224"/>
    </row>
    <row r="5" spans="1:57">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row>
    <row r="6" spans="1:57">
      <c r="B6" s="53" t="s">
        <v>73</v>
      </c>
      <c r="C6" s="221">
        <f>C56*'Project Assumptions'!I1*Regulation_Flag</f>
        <v>-494884.6152455663</v>
      </c>
      <c r="D6" s="222">
        <f>D56*'Project Assumptions'!J1*Regulation_Flag</f>
        <v>-5775517.0228235573</v>
      </c>
      <c r="E6" s="222">
        <f>E56*'Project Assumptions'!K1*Regulation_Flag</f>
        <v>-2990464.9761160687</v>
      </c>
      <c r="F6" s="222">
        <f>F56*'Project Assumptions'!L1*Regulation_Flag</f>
        <v>-2256855.4001743235</v>
      </c>
      <c r="G6" s="222">
        <f>G56*'Project Assumptions'!M1*Regulation_Flag</f>
        <v>11256010.364410086</v>
      </c>
      <c r="H6" s="222">
        <f>H56*'Project Assumptions'!N1*Regulation_Flag</f>
        <v>19726436.282865431</v>
      </c>
      <c r="I6" s="222">
        <f>I56*'Project Assumptions'!O1*Regulation_Flag</f>
        <v>26613429.057260457</v>
      </c>
      <c r="J6" s="222">
        <f>J56*'Project Assumptions'!P1*Regulation_Flag</f>
        <v>33162926.995948747</v>
      </c>
      <c r="K6" s="222">
        <f>K56*'Project Assumptions'!Q1*Regulation_Flag</f>
        <v>38583713.922234878</v>
      </c>
      <c r="L6" s="222">
        <f>L56*'Project Assumptions'!R1*Regulation_Flag</f>
        <v>39272307.661486953</v>
      </c>
      <c r="M6" s="222">
        <f>M56*'Project Assumptions'!S1*Regulation_Flag</f>
        <v>31832015.043654937</v>
      </c>
      <c r="N6" s="222">
        <f>N56*'Project Assumptions'!T1*Regulation_Flag</f>
        <v>25436008.326912772</v>
      </c>
      <c r="O6" s="222">
        <f>O56*'Project Assumptions'!U1*Regulation_Flag</f>
        <v>18943055.770521153</v>
      </c>
      <c r="P6" s="222">
        <f>P56*'Project Assumptions'!V1*Regulation_Flag</f>
        <v>12143128.605807418</v>
      </c>
      <c r="Q6" s="222">
        <f>Q56*'Project Assumptions'!W1*Regulation_Flag</f>
        <v>5249123.0139070218</v>
      </c>
      <c r="R6" s="222">
        <f>R56*'Project Assumptions'!X1*Regulation_Flag</f>
        <v>-965890.28851602774</v>
      </c>
      <c r="S6" s="222">
        <f>S56*'Project Assumptions'!Y1*Regulation_Flag</f>
        <v>-8135105.0780737987</v>
      </c>
      <c r="T6" s="222">
        <f>T56*'Project Assumptions'!Z1*Regulation_Flag</f>
        <v>-14785725.75570545</v>
      </c>
      <c r="U6" s="222">
        <f>U56*'Project Assumptions'!AA1*Regulation_Flag</f>
        <v>-19719022.553153954</v>
      </c>
      <c r="V6" s="222">
        <f>V56*'Project Assumptions'!AB1*Regulation_Flag</f>
        <v>-23149152.020228747</v>
      </c>
      <c r="W6" s="222">
        <f>W56*'Project Assumptions'!AC1*Regulation_Flag</f>
        <v>-25315010.885427047</v>
      </c>
      <c r="X6" s="222">
        <f>X56*'Project Assumptions'!AD1*Regulation_Flag</f>
        <v>-27492264.484544296</v>
      </c>
      <c r="Y6" s="222">
        <f>Y56*'Project Assumptions'!AE1*Regulation_Flag</f>
        <v>30862028.297262274</v>
      </c>
      <c r="Z6" s="222">
        <f>Z56*'Project Assumptions'!AF1*Regulation_Flag</f>
        <v>27441056.732487187</v>
      </c>
      <c r="AA6" s="222">
        <f>AA56*'Project Assumptions'!AG1*Regulation_Flag</f>
        <v>21722850.898058183</v>
      </c>
      <c r="AB6" s="222">
        <f>AB56*'Project Assumptions'!AH1*Regulation_Flag</f>
        <v>17011419.2522319</v>
      </c>
      <c r="AC6" s="222">
        <f>AC56*'Project Assumptions'!AI1*Regulation_Flag</f>
        <v>12418765.841093043</v>
      </c>
      <c r="AD6" s="222">
        <f>AD56*'Project Assumptions'!AJ1*Regulation_Flag</f>
        <v>7967048.1274385937</v>
      </c>
      <c r="AE6" s="222">
        <f>AE56*'Project Assumptions'!AK1*Regulation_Flag</f>
        <v>3660494.1821930772</v>
      </c>
      <c r="AF6" s="222">
        <f>AF56*'Project Assumptions'!AL1*Regulation_Flag</f>
        <v>135433.03214712325</v>
      </c>
      <c r="AG6" s="222">
        <f>AG56*'Project Assumptions'!AM1*Regulation_Flag</f>
        <v>95306.113005192587</v>
      </c>
      <c r="AH6" s="222">
        <f>AH56*'Project Assumptions'!AN1*Regulation_Flag</f>
        <v>62103.589091734815</v>
      </c>
      <c r="AI6" s="222">
        <f>AI56*'Project Assumptions'!AO1*Regulation_Flag</f>
        <v>30507.827095361645</v>
      </c>
      <c r="AJ6" s="222">
        <f>AJ56*'Project Assumptions'!AP1*Regulation_Flag</f>
        <v>4.4415650417080922E-9</v>
      </c>
      <c r="AK6" s="222">
        <f>AK56*'Project Assumptions'!AQ1*Regulation_Flag</f>
        <v>4.4415650417080922E-9</v>
      </c>
      <c r="AL6" s="222">
        <f>AL56*'Project Assumptions'!AR1*Regulation_Flag</f>
        <v>4.4415650417080922E-9</v>
      </c>
      <c r="AM6" s="222">
        <f>AM56*'Project Assumptions'!AS1*Regulation_Flag</f>
        <v>4.4415650417080922E-9</v>
      </c>
      <c r="AN6" s="222">
        <f>AN56*'Project Assumptions'!AT1*Regulation_Flag</f>
        <v>4.4415650417080922E-9</v>
      </c>
      <c r="AO6" s="222">
        <f>AO56*'Project Assumptions'!AU1*Regulation_Flag</f>
        <v>4.4415650417080922E-9</v>
      </c>
      <c r="AP6" s="222">
        <f>AP56*'Project Assumptions'!AV1*Regulation_Flag</f>
        <v>4.4415650417080922E-9</v>
      </c>
      <c r="AQ6" s="222">
        <f>AQ56*'Project Assumptions'!AW1*Regulation_Flag</f>
        <v>4.4415650417080922E-9</v>
      </c>
      <c r="AR6" s="222">
        <f>AR56*'Project Assumptions'!AX1*Regulation_Flag</f>
        <v>4.4415650417080922E-9</v>
      </c>
      <c r="AS6" s="222">
        <f>AS56*'Project Assumptions'!AY1*Regulation_Flag</f>
        <v>4.4415650417080922E-9</v>
      </c>
      <c r="AT6" s="222">
        <f>AT56*'Project Assumptions'!AZ1*Regulation_Flag</f>
        <v>4.4415650417080922E-9</v>
      </c>
      <c r="AU6" s="222">
        <f>AU56*'Project Assumptions'!BA1*Regulation_Flag</f>
        <v>4.4415650417080922E-9</v>
      </c>
      <c r="AV6" s="222">
        <f>AV56*'Project Assumptions'!BB1*Regulation_Flag</f>
        <v>4.4415650417080922E-9</v>
      </c>
      <c r="AW6" s="222">
        <f>AW56*'Project Assumptions'!BC1*Regulation_Flag</f>
        <v>4.4415650417080922E-9</v>
      </c>
      <c r="AX6" s="222">
        <f>AX56*'Project Assumptions'!BD1*Regulation_Flag</f>
        <v>4.4415650417080922E-9</v>
      </c>
      <c r="AY6" s="222">
        <f>AY56*'Project Assumptions'!BE1*Regulation_Flag</f>
        <v>4.4415650417080922E-9</v>
      </c>
      <c r="AZ6" s="222">
        <f>AZ56*'Project Assumptions'!BF1*Regulation_Flag</f>
        <v>4.4415650417080922E-9</v>
      </c>
      <c r="BA6" s="222">
        <f>BA56*'Project Assumptions'!BG1*Regulation_Flag</f>
        <v>4.4415650417080922E-9</v>
      </c>
      <c r="BB6" s="222">
        <f>BB56*'Project Assumptions'!BH1*Regulation_Flag</f>
        <v>4.4415650417080922E-9</v>
      </c>
      <c r="BC6" s="222">
        <f>BC56*'Project Assumptions'!BI1*Regulation_Flag</f>
        <v>4.4415650417080922E-9</v>
      </c>
    </row>
    <row r="7" spans="1:57">
      <c r="B7" s="63"/>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row>
    <row r="8" spans="1:57">
      <c r="B8" s="46" t="s">
        <v>63</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row>
    <row r="9" spans="1:57">
      <c r="B9" s="63" t="s">
        <v>57</v>
      </c>
      <c r="C9" s="64">
        <f>'Revenue Requirement'!C11*'Project Assumptions'!I$1</f>
        <v>-472515.83063646668</v>
      </c>
      <c r="D9" s="64">
        <f>'Revenue Requirement'!D11*'Project Assumptions'!J$1</f>
        <v>-6574696.2122196537</v>
      </c>
      <c r="E9" s="64">
        <f>'Revenue Requirement'!E11*'Project Assumptions'!K$1</f>
        <v>-7669793.5460921042</v>
      </c>
      <c r="F9" s="64">
        <f>'Revenue Requirement'!F11*'Project Assumptions'!L$1</f>
        <v>-14185582.545780562</v>
      </c>
      <c r="G9" s="64">
        <f>'Revenue Requirement'!G11*'Project Assumptions'!M$1</f>
        <v>-12031867.087939808</v>
      </c>
      <c r="H9" s="64">
        <f>'Revenue Requirement'!H11*'Project Assumptions'!N$1</f>
        <v>-12770405.637546735</v>
      </c>
      <c r="I9" s="64">
        <f>'Revenue Requirement'!I11*'Project Assumptions'!O$1</f>
        <v>-14869542.307376042</v>
      </c>
      <c r="J9" s="64">
        <f>'Revenue Requirement'!J11*'Project Assumptions'!P$1</f>
        <v>-17143522.477703594</v>
      </c>
      <c r="K9" s="64">
        <f>'Revenue Requirement'!K11*'Project Assumptions'!Q$1</f>
        <v>-19751929.952036683</v>
      </c>
      <c r="L9" s="64">
        <f>'Revenue Requirement'!L11*'Project Assumptions'!R$1</f>
        <v>-22267109.902521782</v>
      </c>
      <c r="M9" s="64">
        <f>'Revenue Requirement'!M11*'Project Assumptions'!S$1</f>
        <v>-26096764.381659083</v>
      </c>
      <c r="N9" s="64">
        <f>'Revenue Requirement'!N11*'Project Assumptions'!T$1</f>
        <v>-29172527.532278325</v>
      </c>
      <c r="O9" s="64">
        <f>'Revenue Requirement'!O11*'Project Assumptions'!U$1</f>
        <v>-32546250.451689467</v>
      </c>
      <c r="P9" s="64">
        <f>'Revenue Requirement'!P11*'Project Assumptions'!V$1</f>
        <v>-36380882.131553598</v>
      </c>
      <c r="Q9" s="64">
        <f>'Revenue Requirement'!Q11*'Project Assumptions'!W$1</f>
        <v>-40449356.546508506</v>
      </c>
      <c r="R9" s="64">
        <f>'Revenue Requirement'!R11*'Project Assumptions'!X$1</f>
        <v>-44052638.106116906</v>
      </c>
      <c r="S9" s="64">
        <f>'Revenue Requirement'!S11*'Project Assumptions'!Y$1</f>
        <v>-48735636.759026721</v>
      </c>
      <c r="T9" s="64">
        <f>'Revenue Requirement'!T11*'Project Assumptions'!Z$1</f>
        <v>-53096825.440337688</v>
      </c>
      <c r="U9" s="64">
        <f>'Revenue Requirement'!U11*'Project Assumptions'!AA$1</f>
        <v>-55989046.117263652</v>
      </c>
      <c r="V9" s="64">
        <f>'Revenue Requirement'!V11*'Project Assumptions'!AB$1</f>
        <v>-57567703.927123815</v>
      </c>
      <c r="W9" s="64">
        <f>'Revenue Requirement'!W11*'Project Assumptions'!AC$1</f>
        <v>-57978692.381805211</v>
      </c>
      <c r="X9" s="64">
        <f>'Revenue Requirement'!X11*'Project Assumptions'!AD$1</f>
        <v>-58401898.280915782</v>
      </c>
      <c r="Y9" s="64">
        <f>'Revenue Requirement'!Y11*'Project Assumptions'!AE$1</f>
        <v>0</v>
      </c>
      <c r="Z9" s="64">
        <f>'Revenue Requirement'!Z11*'Project Assumptions'!AF$1</f>
        <v>0</v>
      </c>
      <c r="AA9" s="64">
        <f>'Revenue Requirement'!AA11*'Project Assumptions'!AG$1</f>
        <v>0</v>
      </c>
      <c r="AB9" s="64">
        <f>'Revenue Requirement'!AB11*'Project Assumptions'!AH$1</f>
        <v>0</v>
      </c>
      <c r="AC9" s="64">
        <f>'Revenue Requirement'!AC11*'Project Assumptions'!AI$1</f>
        <v>0</v>
      </c>
      <c r="AD9" s="64">
        <f>'Revenue Requirement'!AD11*'Project Assumptions'!AJ$1</f>
        <v>0</v>
      </c>
      <c r="AE9" s="64">
        <f>'Revenue Requirement'!AE11*'Project Assumptions'!AK$1</f>
        <v>0</v>
      </c>
      <c r="AF9" s="64">
        <f>'Revenue Requirement'!AF11*'Project Assumptions'!AL$1</f>
        <v>0</v>
      </c>
      <c r="AG9" s="64">
        <f>'Revenue Requirement'!AG11*'Project Assumptions'!AM$1</f>
        <v>0</v>
      </c>
      <c r="AH9" s="64">
        <f>'Revenue Requirement'!AH11*'Project Assumptions'!AN$1</f>
        <v>0</v>
      </c>
      <c r="AI9" s="64">
        <f>'Revenue Requirement'!AI11*'Project Assumptions'!AO$1</f>
        <v>0</v>
      </c>
      <c r="AJ9" s="64">
        <f>'Revenue Requirement'!AJ11*'Project Assumptions'!AP$1</f>
        <v>0</v>
      </c>
      <c r="AK9" s="64">
        <f>'Revenue Requirement'!AK11*'Project Assumptions'!AQ$1</f>
        <v>0</v>
      </c>
      <c r="AL9" s="64">
        <f>'Revenue Requirement'!AL11*'Project Assumptions'!AR$1</f>
        <v>0</v>
      </c>
      <c r="AM9" s="64">
        <f>'Revenue Requirement'!AM11*'Project Assumptions'!AS$1</f>
        <v>0</v>
      </c>
      <c r="AN9" s="64">
        <f>'Revenue Requirement'!AN11*'Project Assumptions'!AT$1</f>
        <v>0</v>
      </c>
      <c r="AO9" s="64">
        <f>'Revenue Requirement'!AO11*'Project Assumptions'!AU$1</f>
        <v>0</v>
      </c>
      <c r="AP9" s="64">
        <f>'Revenue Requirement'!AP11*'Project Assumptions'!AV$1</f>
        <v>0</v>
      </c>
      <c r="AQ9" s="64">
        <f>'Revenue Requirement'!AQ11*'Project Assumptions'!AW$1</f>
        <v>0</v>
      </c>
      <c r="AR9" s="64">
        <f>'Revenue Requirement'!AR11*'Project Assumptions'!AX$1</f>
        <v>0</v>
      </c>
      <c r="AS9" s="64">
        <f>'Revenue Requirement'!AS11*'Project Assumptions'!AY$1</f>
        <v>0</v>
      </c>
      <c r="AT9" s="64">
        <f>'Revenue Requirement'!AT11*'Project Assumptions'!AZ$1</f>
        <v>0</v>
      </c>
      <c r="AU9" s="64">
        <f>'Revenue Requirement'!AU11*'Project Assumptions'!BA$1</f>
        <v>0</v>
      </c>
      <c r="AV9" s="64">
        <f>'Revenue Requirement'!AV11*'Project Assumptions'!BB$1</f>
        <v>0</v>
      </c>
      <c r="AW9" s="64">
        <f>'Revenue Requirement'!AW11*'Project Assumptions'!BC$1</f>
        <v>0</v>
      </c>
      <c r="AX9" s="64">
        <f>'Revenue Requirement'!AX11*'Project Assumptions'!BD$1</f>
        <v>0</v>
      </c>
      <c r="AY9" s="64">
        <f>'Revenue Requirement'!AY11*'Project Assumptions'!BE$1</f>
        <v>0</v>
      </c>
      <c r="AZ9" s="64">
        <f>'Revenue Requirement'!AZ11*'Project Assumptions'!BF$1</f>
        <v>0</v>
      </c>
      <c r="BA9" s="64">
        <f>'Revenue Requirement'!BA11*'Project Assumptions'!BG$1</f>
        <v>0</v>
      </c>
      <c r="BB9" s="64">
        <f>'Revenue Requirement'!BB11*'Project Assumptions'!BH$1</f>
        <v>0</v>
      </c>
      <c r="BC9" s="64">
        <f>'Revenue Requirement'!BC11*'Project Assumptions'!BI$1</f>
        <v>0</v>
      </c>
    </row>
    <row r="10" spans="1:57">
      <c r="B10" s="63" t="s">
        <v>137</v>
      </c>
      <c r="C10" s="64">
        <f>'Revenue Requirement'!C12*'Project Assumptions'!I$1</f>
        <v>0</v>
      </c>
      <c r="D10" s="64">
        <f>'Revenue Requirement'!D12*'Project Assumptions'!J$1</f>
        <v>0</v>
      </c>
      <c r="E10" s="64">
        <f>'Revenue Requirement'!E12*'Project Assumptions'!K$1</f>
        <v>0</v>
      </c>
      <c r="F10" s="64">
        <f>'Revenue Requirement'!F12*'Project Assumptions'!L$1</f>
        <v>0</v>
      </c>
      <c r="G10" s="64">
        <f>'Revenue Requirement'!G12*'Project Assumptions'!M$1</f>
        <v>0</v>
      </c>
      <c r="H10" s="64">
        <f>'Revenue Requirement'!H12*'Project Assumptions'!N$1</f>
        <v>0</v>
      </c>
      <c r="I10" s="64">
        <f>'Revenue Requirement'!I12*'Project Assumptions'!O$1</f>
        <v>0</v>
      </c>
      <c r="J10" s="64">
        <f>'Revenue Requirement'!J12*'Project Assumptions'!P$1</f>
        <v>0</v>
      </c>
      <c r="K10" s="64">
        <f>'Revenue Requirement'!K12*'Project Assumptions'!Q$1</f>
        <v>0</v>
      </c>
      <c r="L10" s="64">
        <f>'Revenue Requirement'!L12*'Project Assumptions'!R$1</f>
        <v>0</v>
      </c>
      <c r="M10" s="64">
        <f>'Revenue Requirement'!M12*'Project Assumptions'!S$1</f>
        <v>0</v>
      </c>
      <c r="N10" s="64">
        <f>'Revenue Requirement'!N12*'Project Assumptions'!T$1</f>
        <v>0</v>
      </c>
      <c r="O10" s="64">
        <f>'Revenue Requirement'!O12*'Project Assumptions'!U$1</f>
        <v>0</v>
      </c>
      <c r="P10" s="64">
        <f>'Revenue Requirement'!P12*'Project Assumptions'!V$1</f>
        <v>0</v>
      </c>
      <c r="Q10" s="64">
        <f>'Revenue Requirement'!Q12*'Project Assumptions'!W$1</f>
        <v>0</v>
      </c>
      <c r="R10" s="64">
        <f>'Revenue Requirement'!R12*'Project Assumptions'!X$1</f>
        <v>0</v>
      </c>
      <c r="S10" s="64">
        <f>'Revenue Requirement'!S12*'Project Assumptions'!Y$1</f>
        <v>0</v>
      </c>
      <c r="T10" s="64">
        <f>'Revenue Requirement'!T12*'Project Assumptions'!Z$1</f>
        <v>0</v>
      </c>
      <c r="U10" s="64">
        <f>'Revenue Requirement'!U12*'Project Assumptions'!AA$1</f>
        <v>0</v>
      </c>
      <c r="V10" s="64">
        <f>'Revenue Requirement'!V12*'Project Assumptions'!AB$1</f>
        <v>0</v>
      </c>
      <c r="W10" s="64">
        <f>'Revenue Requirement'!W12*'Project Assumptions'!AC$1</f>
        <v>0</v>
      </c>
      <c r="X10" s="64">
        <f>'Revenue Requirement'!X12*'Project Assumptions'!AD$1</f>
        <v>0</v>
      </c>
      <c r="Y10" s="64">
        <f>'Revenue Requirement'!Y12*'Project Assumptions'!AE$1</f>
        <v>0</v>
      </c>
      <c r="Z10" s="64">
        <f>'Revenue Requirement'!Z12*'Project Assumptions'!AF$1</f>
        <v>0</v>
      </c>
      <c r="AA10" s="64">
        <f>'Revenue Requirement'!AA12*'Project Assumptions'!AG$1</f>
        <v>0</v>
      </c>
      <c r="AB10" s="64">
        <f>'Revenue Requirement'!AB12*'Project Assumptions'!AH$1</f>
        <v>0</v>
      </c>
      <c r="AC10" s="64">
        <f>'Revenue Requirement'!AC12*'Project Assumptions'!AI$1</f>
        <v>0</v>
      </c>
      <c r="AD10" s="64">
        <f>'Revenue Requirement'!AD12*'Project Assumptions'!AJ$1</f>
        <v>0</v>
      </c>
      <c r="AE10" s="64">
        <f>'Revenue Requirement'!AE12*'Project Assumptions'!AK$1</f>
        <v>0</v>
      </c>
      <c r="AF10" s="64">
        <f>'Revenue Requirement'!AF12*'Project Assumptions'!AL$1</f>
        <v>0</v>
      </c>
      <c r="AG10" s="64">
        <f>'Revenue Requirement'!AG12*'Project Assumptions'!AM$1</f>
        <v>0</v>
      </c>
      <c r="AH10" s="64">
        <f>'Revenue Requirement'!AH12*'Project Assumptions'!AN$1</f>
        <v>0</v>
      </c>
      <c r="AI10" s="64">
        <f>'Revenue Requirement'!AI12*'Project Assumptions'!AO$1</f>
        <v>0</v>
      </c>
      <c r="AJ10" s="64">
        <f>'Revenue Requirement'!AJ12*'Project Assumptions'!AP$1</f>
        <v>0</v>
      </c>
      <c r="AK10" s="64">
        <f>'Revenue Requirement'!AK12*'Project Assumptions'!AQ$1</f>
        <v>0</v>
      </c>
      <c r="AL10" s="64">
        <f>'Revenue Requirement'!AL12*'Project Assumptions'!AR$1</f>
        <v>0</v>
      </c>
      <c r="AM10" s="64">
        <f>'Revenue Requirement'!AM12*'Project Assumptions'!AS$1</f>
        <v>0</v>
      </c>
      <c r="AN10" s="64">
        <f>'Revenue Requirement'!AN12*'Project Assumptions'!AT$1</f>
        <v>0</v>
      </c>
      <c r="AO10" s="64">
        <f>'Revenue Requirement'!AO12*'Project Assumptions'!AU$1</f>
        <v>0</v>
      </c>
      <c r="AP10" s="64">
        <f>'Revenue Requirement'!AP12*'Project Assumptions'!AV$1</f>
        <v>0</v>
      </c>
      <c r="AQ10" s="64">
        <f>'Revenue Requirement'!AQ12*'Project Assumptions'!AW$1</f>
        <v>0</v>
      </c>
      <c r="AR10" s="64">
        <f>'Revenue Requirement'!AR12*'Project Assumptions'!AX$1</f>
        <v>0</v>
      </c>
      <c r="AS10" s="64">
        <f>'Revenue Requirement'!AS12*'Project Assumptions'!AY$1</f>
        <v>0</v>
      </c>
      <c r="AT10" s="64">
        <f>'Revenue Requirement'!AT12*'Project Assumptions'!AZ$1</f>
        <v>0</v>
      </c>
      <c r="AU10" s="64">
        <f>'Revenue Requirement'!AU12*'Project Assumptions'!BA$1</f>
        <v>0</v>
      </c>
      <c r="AV10" s="64">
        <f>'Revenue Requirement'!AV12*'Project Assumptions'!BB$1</f>
        <v>0</v>
      </c>
      <c r="AW10" s="64">
        <f>'Revenue Requirement'!AW12*'Project Assumptions'!BC$1</f>
        <v>0</v>
      </c>
      <c r="AX10" s="64">
        <f>'Revenue Requirement'!AX12*'Project Assumptions'!BD$1</f>
        <v>0</v>
      </c>
      <c r="AY10" s="64">
        <f>'Revenue Requirement'!AY12*'Project Assumptions'!BE$1</f>
        <v>0</v>
      </c>
      <c r="AZ10" s="64">
        <f>'Revenue Requirement'!AZ12*'Project Assumptions'!BF$1</f>
        <v>0</v>
      </c>
      <c r="BA10" s="64">
        <f>'Revenue Requirement'!BA12*'Project Assumptions'!BG$1</f>
        <v>0</v>
      </c>
      <c r="BB10" s="64">
        <f>'Revenue Requirement'!BB12*'Project Assumptions'!BH$1</f>
        <v>0</v>
      </c>
      <c r="BC10" s="64">
        <f>'Revenue Requirement'!BC12*'Project Assumptions'!BI$1</f>
        <v>0</v>
      </c>
    </row>
    <row r="11" spans="1:57">
      <c r="B11" s="63" t="s">
        <v>5</v>
      </c>
      <c r="C11" s="64">
        <f>'Revenue Requirement'!C14*'Project Assumptions'!I$1</f>
        <v>0</v>
      </c>
      <c r="D11" s="64">
        <f>'Revenue Requirement'!D14*'Project Assumptions'!J$1</f>
        <v>0</v>
      </c>
      <c r="E11" s="64">
        <f>'Revenue Requirement'!E14*'Project Assumptions'!K$1</f>
        <v>0</v>
      </c>
      <c r="F11" s="64">
        <f>'Revenue Requirement'!F14*'Project Assumptions'!L$1</f>
        <v>0</v>
      </c>
      <c r="G11" s="64">
        <f>'Revenue Requirement'!G14*'Project Assumptions'!M$1</f>
        <v>0</v>
      </c>
      <c r="H11" s="64">
        <f>'Revenue Requirement'!H14*'Project Assumptions'!N$1</f>
        <v>0</v>
      </c>
      <c r="I11" s="64">
        <f>'Revenue Requirement'!I14*'Project Assumptions'!O$1</f>
        <v>0</v>
      </c>
      <c r="J11" s="64">
        <f>'Revenue Requirement'!J14*'Project Assumptions'!P$1</f>
        <v>0</v>
      </c>
      <c r="K11" s="64">
        <f>'Revenue Requirement'!K14*'Project Assumptions'!Q$1</f>
        <v>0</v>
      </c>
      <c r="L11" s="64">
        <f>'Revenue Requirement'!L14*'Project Assumptions'!R$1</f>
        <v>0</v>
      </c>
      <c r="M11" s="64">
        <f>'Revenue Requirement'!M14*'Project Assumptions'!S$1</f>
        <v>0</v>
      </c>
      <c r="N11" s="64">
        <f>'Revenue Requirement'!N14*'Project Assumptions'!T$1</f>
        <v>0</v>
      </c>
      <c r="O11" s="64">
        <f>'Revenue Requirement'!O14*'Project Assumptions'!U$1</f>
        <v>0</v>
      </c>
      <c r="P11" s="64">
        <f>'Revenue Requirement'!P14*'Project Assumptions'!V$1</f>
        <v>0</v>
      </c>
      <c r="Q11" s="64">
        <f>'Revenue Requirement'!Q14*'Project Assumptions'!W$1</f>
        <v>0</v>
      </c>
      <c r="R11" s="64">
        <f>'Revenue Requirement'!R14*'Project Assumptions'!X$1</f>
        <v>0</v>
      </c>
      <c r="S11" s="64">
        <f>'Revenue Requirement'!S14*'Project Assumptions'!Y$1</f>
        <v>0</v>
      </c>
      <c r="T11" s="64">
        <f>'Revenue Requirement'!T14*'Project Assumptions'!Z$1</f>
        <v>0</v>
      </c>
      <c r="U11" s="64">
        <f>'Revenue Requirement'!U14*'Project Assumptions'!AA$1</f>
        <v>0</v>
      </c>
      <c r="V11" s="64">
        <f>'Revenue Requirement'!V14*'Project Assumptions'!AB$1</f>
        <v>0</v>
      </c>
      <c r="W11" s="64">
        <f>'Revenue Requirement'!W14*'Project Assumptions'!AC$1</f>
        <v>0</v>
      </c>
      <c r="X11" s="64">
        <f>'Revenue Requirement'!X14*'Project Assumptions'!AD$1</f>
        <v>0</v>
      </c>
      <c r="Y11" s="64">
        <f>'Revenue Requirement'!Y14*'Project Assumptions'!AE$1</f>
        <v>0</v>
      </c>
      <c r="Z11" s="64">
        <f>'Revenue Requirement'!Z14*'Project Assumptions'!AF$1</f>
        <v>0</v>
      </c>
      <c r="AA11" s="64">
        <f>'Revenue Requirement'!AA14*'Project Assumptions'!AG$1</f>
        <v>0</v>
      </c>
      <c r="AB11" s="64">
        <f>'Revenue Requirement'!AB14*'Project Assumptions'!AH$1</f>
        <v>0</v>
      </c>
      <c r="AC11" s="64">
        <f>'Revenue Requirement'!AC14*'Project Assumptions'!AI$1</f>
        <v>0</v>
      </c>
      <c r="AD11" s="64">
        <f>'Revenue Requirement'!AD14*'Project Assumptions'!AJ$1</f>
        <v>0</v>
      </c>
      <c r="AE11" s="64">
        <f>'Revenue Requirement'!AE14*'Project Assumptions'!AK$1</f>
        <v>0</v>
      </c>
      <c r="AF11" s="64">
        <f>'Revenue Requirement'!AF14*'Project Assumptions'!AL$1</f>
        <v>0</v>
      </c>
      <c r="AG11" s="64">
        <f>'Revenue Requirement'!AG14*'Project Assumptions'!AM$1</f>
        <v>0</v>
      </c>
      <c r="AH11" s="64">
        <f>'Revenue Requirement'!AH14*'Project Assumptions'!AN$1</f>
        <v>0</v>
      </c>
      <c r="AI11" s="64">
        <f>'Revenue Requirement'!AI14*'Project Assumptions'!AO$1</f>
        <v>0</v>
      </c>
      <c r="AJ11" s="64">
        <f>'Revenue Requirement'!AJ14*'Project Assumptions'!AP$1</f>
        <v>0</v>
      </c>
      <c r="AK11" s="64">
        <f>'Revenue Requirement'!AK14*'Project Assumptions'!AQ$1</f>
        <v>0</v>
      </c>
      <c r="AL11" s="64">
        <f>'Revenue Requirement'!AL14*'Project Assumptions'!AR$1</f>
        <v>0</v>
      </c>
      <c r="AM11" s="64">
        <f>'Revenue Requirement'!AM14*'Project Assumptions'!AS$1</f>
        <v>0</v>
      </c>
      <c r="AN11" s="64">
        <f>'Revenue Requirement'!AN14*'Project Assumptions'!AT$1</f>
        <v>0</v>
      </c>
      <c r="AO11" s="64">
        <f>'Revenue Requirement'!AO14*'Project Assumptions'!AU$1</f>
        <v>0</v>
      </c>
      <c r="AP11" s="64">
        <f>'Revenue Requirement'!AP14*'Project Assumptions'!AV$1</f>
        <v>0</v>
      </c>
      <c r="AQ11" s="64">
        <f>'Revenue Requirement'!AQ14*'Project Assumptions'!AW$1</f>
        <v>0</v>
      </c>
      <c r="AR11" s="64">
        <f>'Revenue Requirement'!AR14*'Project Assumptions'!AX$1</f>
        <v>0</v>
      </c>
      <c r="AS11" s="64">
        <f>'Revenue Requirement'!AS14*'Project Assumptions'!AY$1</f>
        <v>0</v>
      </c>
      <c r="AT11" s="64">
        <f>'Revenue Requirement'!AT14*'Project Assumptions'!AZ$1</f>
        <v>0</v>
      </c>
      <c r="AU11" s="64">
        <f>'Revenue Requirement'!AU14*'Project Assumptions'!BA$1</f>
        <v>0</v>
      </c>
      <c r="AV11" s="64">
        <f>'Revenue Requirement'!AV14*'Project Assumptions'!BB$1</f>
        <v>0</v>
      </c>
      <c r="AW11" s="64">
        <f>'Revenue Requirement'!AW14*'Project Assumptions'!BC$1</f>
        <v>0</v>
      </c>
      <c r="AX11" s="64">
        <f>'Revenue Requirement'!AX14*'Project Assumptions'!BD$1</f>
        <v>0</v>
      </c>
      <c r="AY11" s="64">
        <f>'Revenue Requirement'!AY14*'Project Assumptions'!BE$1</f>
        <v>0</v>
      </c>
      <c r="AZ11" s="64">
        <f>'Revenue Requirement'!AZ14*'Project Assumptions'!BF$1</f>
        <v>0</v>
      </c>
      <c r="BA11" s="64">
        <f>'Revenue Requirement'!BA14*'Project Assumptions'!BG$1</f>
        <v>0</v>
      </c>
      <c r="BB11" s="64">
        <f>'Revenue Requirement'!BB14*'Project Assumptions'!BH$1</f>
        <v>0</v>
      </c>
      <c r="BC11" s="64">
        <f>'Revenue Requirement'!BC14*'Project Assumptions'!BI$1</f>
        <v>0</v>
      </c>
    </row>
    <row r="12" spans="1:57">
      <c r="B12" s="63" t="s">
        <v>39</v>
      </c>
      <c r="C12" s="64">
        <f>'Revenue Requirement'!C15*'Project Assumptions'!I$1</f>
        <v>0</v>
      </c>
      <c r="D12" s="64">
        <f>'Revenue Requirement'!D15*'Project Assumptions'!J$1</f>
        <v>0</v>
      </c>
      <c r="E12" s="64">
        <f>'Revenue Requirement'!E15*'Project Assumptions'!K$1</f>
        <v>1066590.4222895724</v>
      </c>
      <c r="F12" s="64">
        <f>'Revenue Requirement'!F15*'Project Assumptions'!L$1</f>
        <v>2809345.4672995768</v>
      </c>
      <c r="G12" s="64">
        <f>'Revenue Requirement'!G15*'Project Assumptions'!M$1</f>
        <v>6942548.082309708</v>
      </c>
      <c r="H12" s="64">
        <f>'Revenue Requirement'!H15*'Project Assumptions'!N$1</f>
        <v>10367515.105178883</v>
      </c>
      <c r="I12" s="64">
        <f>'Revenue Requirement'!I15*'Project Assumptions'!O$1</f>
        <v>13912409.69669489</v>
      </c>
      <c r="J12" s="64">
        <f>'Revenue Requirement'!J15*'Project Assumptions'!P$1</f>
        <v>17563651.125956379</v>
      </c>
      <c r="K12" s="64">
        <f>'Revenue Requirement'!K15*'Project Assumptions'!Q$1</f>
        <v>21324429.798095711</v>
      </c>
      <c r="L12" s="64">
        <f>'Revenue Requirement'!L15*'Project Assumptions'!R$1</f>
        <v>24573722.31256374</v>
      </c>
      <c r="M12" s="64">
        <f>'Revenue Requirement'!M15*'Project Assumptions'!S$1</f>
        <v>24605441.327340674</v>
      </c>
      <c r="N12" s="64">
        <f>'Revenue Requirement'!N15*'Project Assumptions'!T$1</f>
        <v>24632517.267039396</v>
      </c>
      <c r="O12" s="64">
        <f>'Revenue Requirement'!O15*'Project Assumptions'!U$1</f>
        <v>24659881.622666612</v>
      </c>
      <c r="P12" s="64">
        <f>'Revenue Requirement'!P15*'Project Assumptions'!V$1</f>
        <v>24688066.908962645</v>
      </c>
      <c r="Q12" s="64">
        <f>'Revenue Requirement'!Q15*'Project Assumptions'!W$1</f>
        <v>24688066.908962645</v>
      </c>
      <c r="R12" s="64">
        <f>'Revenue Requirement'!R15*'Project Assumptions'!X$1</f>
        <v>24688066.908962645</v>
      </c>
      <c r="S12" s="64">
        <f>'Revenue Requirement'!S15*'Project Assumptions'!Y$1</f>
        <v>24688066.908962645</v>
      </c>
      <c r="T12" s="64">
        <f>'Revenue Requirement'!T15*'Project Assumptions'!Z$1</f>
        <v>24688066.908962645</v>
      </c>
      <c r="U12" s="64">
        <f>'Revenue Requirement'!U15*'Project Assumptions'!AA$1</f>
        <v>24688066.908962645</v>
      </c>
      <c r="V12" s="64">
        <f>'Revenue Requirement'!V15*'Project Assumptions'!AB$1</f>
        <v>24688066.908962645</v>
      </c>
      <c r="W12" s="64">
        <f>'Revenue Requirement'!W15*'Project Assumptions'!AC$1</f>
        <v>24688066.908962645</v>
      </c>
      <c r="X12" s="64">
        <f>'Revenue Requirement'!X15*'Project Assumptions'!AD$1</f>
        <v>24688066.908962645</v>
      </c>
      <c r="Y12" s="64">
        <f>'Revenue Requirement'!Y15*'Project Assumptions'!AE$1</f>
        <v>23621476.486673072</v>
      </c>
      <c r="Z12" s="64">
        <f>'Revenue Requirement'!Z15*'Project Assumptions'!AF$1</f>
        <v>21878721.441663064</v>
      </c>
      <c r="AA12" s="64">
        <f>'Revenue Requirement'!AA15*'Project Assumptions'!AG$1</f>
        <v>17745518.826652937</v>
      </c>
      <c r="AB12" s="64">
        <f>'Revenue Requirement'!AB15*'Project Assumptions'!AH$1</f>
        <v>14320551.803783761</v>
      </c>
      <c r="AC12" s="64">
        <f>'Revenue Requirement'!AC15*'Project Assumptions'!AI$1</f>
        <v>10775657.212267755</v>
      </c>
      <c r="AD12" s="64">
        <f>'Revenue Requirement'!AD15*'Project Assumptions'!AJ$1</f>
        <v>7124415.7830062695</v>
      </c>
      <c r="AE12" s="64">
        <f>'Revenue Requirement'!AE15*'Project Assumptions'!AK$1</f>
        <v>3363637.1108669383</v>
      </c>
      <c r="AF12" s="64">
        <f>'Revenue Requirement'!AF15*'Project Assumptions'!AL$1</f>
        <v>114344.59639890766</v>
      </c>
      <c r="AG12" s="64">
        <f>'Revenue Requirement'!AG15*'Project Assumptions'!AM$1</f>
        <v>82625.581621972946</v>
      </c>
      <c r="AH12" s="64">
        <f>'Revenue Requirement'!AH15*'Project Assumptions'!AN$1</f>
        <v>55549.641923248957</v>
      </c>
      <c r="AI12" s="64">
        <f>'Revenue Requirement'!AI15*'Project Assumptions'!AO$1</f>
        <v>28185.286296032715</v>
      </c>
      <c r="AJ12" s="64">
        <f>'Revenue Requirement'!AJ15*'Project Assumptions'!AP$1</f>
        <v>0</v>
      </c>
      <c r="AK12" s="64">
        <f>'Revenue Requirement'!AK15*'Project Assumptions'!AQ$1</f>
        <v>0</v>
      </c>
      <c r="AL12" s="64">
        <f>'Revenue Requirement'!AL15*'Project Assumptions'!AR$1</f>
        <v>0</v>
      </c>
      <c r="AM12" s="64">
        <f>'Revenue Requirement'!AM15*'Project Assumptions'!AS$1</f>
        <v>0</v>
      </c>
      <c r="AN12" s="64">
        <f>'Revenue Requirement'!AN15*'Project Assumptions'!AT$1</f>
        <v>0</v>
      </c>
      <c r="AO12" s="64">
        <f>'Revenue Requirement'!AO15*'Project Assumptions'!AU$1</f>
        <v>0</v>
      </c>
      <c r="AP12" s="64">
        <f>'Revenue Requirement'!AP15*'Project Assumptions'!AV$1</f>
        <v>0</v>
      </c>
      <c r="AQ12" s="64">
        <f>'Revenue Requirement'!AQ15*'Project Assumptions'!AW$1</f>
        <v>0</v>
      </c>
      <c r="AR12" s="64">
        <f>'Revenue Requirement'!AR15*'Project Assumptions'!AX$1</f>
        <v>0</v>
      </c>
      <c r="AS12" s="64">
        <f>'Revenue Requirement'!AS15*'Project Assumptions'!AY$1</f>
        <v>0</v>
      </c>
      <c r="AT12" s="64">
        <f>'Revenue Requirement'!AT15*'Project Assumptions'!AZ$1</f>
        <v>0</v>
      </c>
      <c r="AU12" s="64">
        <f>'Revenue Requirement'!AU15*'Project Assumptions'!BA$1</f>
        <v>0</v>
      </c>
      <c r="AV12" s="64">
        <f>'Revenue Requirement'!AV15*'Project Assumptions'!BB$1</f>
        <v>0</v>
      </c>
      <c r="AW12" s="64">
        <f>'Revenue Requirement'!AW15*'Project Assumptions'!BC$1</f>
        <v>0</v>
      </c>
      <c r="AX12" s="64">
        <f>'Revenue Requirement'!AX15*'Project Assumptions'!BD$1</f>
        <v>0</v>
      </c>
      <c r="AY12" s="64">
        <f>'Revenue Requirement'!AY15*'Project Assumptions'!BE$1</f>
        <v>0</v>
      </c>
      <c r="AZ12" s="64">
        <f>'Revenue Requirement'!AZ15*'Project Assumptions'!BF$1</f>
        <v>0</v>
      </c>
      <c r="BA12" s="64">
        <f>'Revenue Requirement'!BA15*'Project Assumptions'!BG$1</f>
        <v>0</v>
      </c>
      <c r="BB12" s="64">
        <f>'Revenue Requirement'!BB15*'Project Assumptions'!BH$1</f>
        <v>0</v>
      </c>
      <c r="BC12" s="64">
        <f>'Revenue Requirement'!BC15*'Project Assumptions'!BI$1</f>
        <v>0</v>
      </c>
    </row>
    <row r="13" spans="1:57">
      <c r="A13" s="50"/>
      <c r="B13" s="63" t="s">
        <v>3</v>
      </c>
      <c r="C13" s="64">
        <f>C6*Revenue_Taxes*'Project Assumptions'!I$1</f>
        <v>-22368.784609099595</v>
      </c>
      <c r="D13" s="64">
        <f>D6*Revenue_Taxes*'Project Assumptions'!J$1</f>
        <v>-261053.36943162477</v>
      </c>
      <c r="E13" s="64">
        <f>E6*Revenue_Taxes*'Project Assumptions'!K$1</f>
        <v>-135169.0169204463</v>
      </c>
      <c r="F13" s="64">
        <f>F6*Revenue_Taxes*'Project Assumptions'!L$1</f>
        <v>-102009.86408787941</v>
      </c>
      <c r="G13" s="64">
        <f>G6*Revenue_Taxes*'Project Assumptions'!M$1</f>
        <v>508771.66847133584</v>
      </c>
      <c r="H13" s="64">
        <f>H6*Revenue_Taxes*'Project Assumptions'!N$1</f>
        <v>891634.91998551739</v>
      </c>
      <c r="I13" s="64">
        <f>I6*Revenue_Taxes*'Project Assumptions'!O$1</f>
        <v>1202926.9933881727</v>
      </c>
      <c r="J13" s="64">
        <f>J6*Revenue_Taxes*'Project Assumptions'!P$1</f>
        <v>1498964.3002168832</v>
      </c>
      <c r="K13" s="64">
        <f>K6*Revenue_Taxes*'Project Assumptions'!Q$1</f>
        <v>1743983.8692850163</v>
      </c>
      <c r="L13" s="64">
        <f>L6*Revenue_Taxes*'Project Assumptions'!R$1</f>
        <v>1775108.3062992103</v>
      </c>
      <c r="M13" s="64">
        <f>M6*Revenue_Taxes*'Project Assumptions'!S$1</f>
        <v>1438807.0799732031</v>
      </c>
      <c r="N13" s="64">
        <f>N6*Revenue_Taxes*'Project Assumptions'!T$1</f>
        <v>1149707.5763764572</v>
      </c>
      <c r="O13" s="64">
        <f>O6*Revenue_Taxes*'Project Assumptions'!U$1</f>
        <v>856226.12082755601</v>
      </c>
      <c r="P13" s="64">
        <f>P6*Revenue_Taxes*'Project Assumptions'!V$1</f>
        <v>548869.41298249527</v>
      </c>
      <c r="Q13" s="64">
        <f>Q6*Revenue_Taxes*'Project Assumptions'!W$1</f>
        <v>237260.36022859736</v>
      </c>
      <c r="R13" s="64">
        <f>R6*Revenue_Taxes*'Project Assumptions'!X$1</f>
        <v>-43658.241040924448</v>
      </c>
      <c r="S13" s="64">
        <f>S6*Revenue_Taxes*'Project Assumptions'!Y$1</f>
        <v>-367706.7495289357</v>
      </c>
      <c r="T13" s="64">
        <f>T6*Revenue_Taxes*'Project Assumptions'!Z$1</f>
        <v>-668314.8041578863</v>
      </c>
      <c r="U13" s="64">
        <f>U6*Revenue_Taxes*'Project Assumptions'!AA$1</f>
        <v>-891299.81940255873</v>
      </c>
      <c r="V13" s="64">
        <f>V6*Revenue_Taxes*'Project Assumptions'!AB$1</f>
        <v>-1046341.6713143393</v>
      </c>
      <c r="W13" s="64">
        <f>W6*Revenue_Taxes*'Project Assumptions'!AC$1</f>
        <v>-1144238.4920213025</v>
      </c>
      <c r="X13" s="64">
        <f>X6*Revenue_Taxes*'Project Assumptions'!AD$1</f>
        <v>-1242650.3547014021</v>
      </c>
      <c r="Y13" s="64">
        <f>Y6*Revenue_Taxes*'Project Assumptions'!AE$1</f>
        <v>1394963.6790362548</v>
      </c>
      <c r="Z13" s="64">
        <f>Z6*Revenue_Taxes*'Project Assumptions'!AF$1</f>
        <v>1240335.7643084207</v>
      </c>
      <c r="AA13" s="64">
        <f>AA6*Revenue_Taxes*'Project Assumptions'!AG$1</f>
        <v>981872.86059222987</v>
      </c>
      <c r="AB13" s="64">
        <f>AB6*Revenue_Taxes*'Project Assumptions'!AH$1</f>
        <v>768916.15020088176</v>
      </c>
      <c r="AC13" s="64">
        <f>AC6*Revenue_Taxes*'Project Assumptions'!AI$1</f>
        <v>561328.2160174055</v>
      </c>
      <c r="AD13" s="64">
        <f>AD6*Revenue_Taxes*'Project Assumptions'!AJ$1</f>
        <v>360110.57536022441</v>
      </c>
      <c r="AE13" s="64">
        <f>AE6*Revenue_Taxes*'Project Assumptions'!AK$1</f>
        <v>165454.33703512707</v>
      </c>
      <c r="AF13" s="64">
        <f>AF6*Revenue_Taxes*'Project Assumptions'!AL$1</f>
        <v>6121.5730530499704</v>
      </c>
      <c r="AG13" s="64">
        <f>AG6*Revenue_Taxes*'Project Assumptions'!AM$1</f>
        <v>4307.8363078347047</v>
      </c>
      <c r="AH13" s="64">
        <f>AH6*Revenue_Taxes*'Project Assumptions'!AN$1</f>
        <v>2807.0822269464134</v>
      </c>
      <c r="AI13" s="64">
        <f>AI6*Revenue_Taxes*'Project Assumptions'!AO$1</f>
        <v>1378.9537847103463</v>
      </c>
      <c r="AJ13" s="64">
        <f>AJ6*Revenue_Taxes*'Project Assumptions'!AP$1</f>
        <v>2.0075873988520575E-10</v>
      </c>
      <c r="AK13" s="64">
        <f>AK6*Revenue_Taxes*'Project Assumptions'!AQ$1</f>
        <v>2.0075873988520575E-10</v>
      </c>
      <c r="AL13" s="64">
        <f>AL6*Revenue_Taxes*'Project Assumptions'!AR$1</f>
        <v>2.0075873988520575E-10</v>
      </c>
      <c r="AM13" s="64">
        <f>AM6*Revenue_Taxes*'Project Assumptions'!AS$1</f>
        <v>2.0075873988520575E-10</v>
      </c>
      <c r="AN13" s="64">
        <f>AN6*Revenue_Taxes*'Project Assumptions'!AT$1</f>
        <v>2.0075873988520575E-10</v>
      </c>
      <c r="AO13" s="64">
        <f>AO6*Revenue_Taxes*'Project Assumptions'!AU$1</f>
        <v>2.0075873988520575E-10</v>
      </c>
      <c r="AP13" s="64">
        <f>AP6*Revenue_Taxes*'Project Assumptions'!AV$1</f>
        <v>2.0075873988520575E-10</v>
      </c>
      <c r="AQ13" s="64">
        <f>AQ6*Revenue_Taxes*'Project Assumptions'!AW$1</f>
        <v>2.0075873988520575E-10</v>
      </c>
      <c r="AR13" s="64">
        <f>AR6*Revenue_Taxes*'Project Assumptions'!AX$1</f>
        <v>2.0075873988520575E-10</v>
      </c>
      <c r="AS13" s="64">
        <f>AS6*Revenue_Taxes*'Project Assumptions'!AY$1</f>
        <v>2.0075873988520575E-10</v>
      </c>
      <c r="AT13" s="64">
        <f>AT6*Revenue_Taxes*'Project Assumptions'!AZ$1</f>
        <v>2.0075873988520575E-10</v>
      </c>
      <c r="AU13" s="64">
        <f>AU6*Revenue_Taxes*'Project Assumptions'!BA$1</f>
        <v>2.0075873988520575E-10</v>
      </c>
      <c r="AV13" s="64">
        <f>AV6*Revenue_Taxes*'Project Assumptions'!BB$1</f>
        <v>2.0075873988520575E-10</v>
      </c>
      <c r="AW13" s="64">
        <f>AW6*Revenue_Taxes*'Project Assumptions'!BC$1</f>
        <v>2.0075873988520575E-10</v>
      </c>
      <c r="AX13" s="64">
        <f>AX6*Revenue_Taxes*'Project Assumptions'!BD$1</f>
        <v>2.0075873988520575E-10</v>
      </c>
      <c r="AY13" s="64">
        <f>AY6*Revenue_Taxes*'Project Assumptions'!BE$1</f>
        <v>2.0075873988520575E-10</v>
      </c>
      <c r="AZ13" s="64">
        <f>AZ6*Revenue_Taxes*'Project Assumptions'!BF$1</f>
        <v>2.0075873988520575E-10</v>
      </c>
      <c r="BA13" s="64">
        <f>BA6*Revenue_Taxes*'Project Assumptions'!BG$1</f>
        <v>2.0075873988520575E-10</v>
      </c>
      <c r="BB13" s="64">
        <f>BB6*Revenue_Taxes*'Project Assumptions'!BH$1</f>
        <v>2.0075873988520575E-10</v>
      </c>
      <c r="BC13" s="64">
        <f>BC6*Revenue_Taxes*'Project Assumptions'!BI$1</f>
        <v>2.0075873988520575E-10</v>
      </c>
    </row>
    <row r="14" spans="1:57">
      <c r="B14" s="63" t="s">
        <v>64</v>
      </c>
      <c r="C14" s="64">
        <f>'Revenue Requirement'!C13*'Project Assumptions'!I$1</f>
        <v>0</v>
      </c>
      <c r="D14" s="64">
        <f>'Revenue Requirement'!D13*'Project Assumptions'!J$1</f>
        <v>0</v>
      </c>
      <c r="E14" s="64">
        <f>'Revenue Requirement'!E13*'Project Assumptions'!K$1</f>
        <v>0</v>
      </c>
      <c r="F14" s="64">
        <f>'Revenue Requirement'!F13*'Project Assumptions'!L$1</f>
        <v>0</v>
      </c>
      <c r="G14" s="64">
        <f>'Revenue Requirement'!G13*'Project Assumptions'!M$1</f>
        <v>0</v>
      </c>
      <c r="H14" s="64">
        <f>'Revenue Requirement'!H13*'Project Assumptions'!N$1</f>
        <v>0</v>
      </c>
      <c r="I14" s="64">
        <f>'Revenue Requirement'!I13*'Project Assumptions'!O$1</f>
        <v>0</v>
      </c>
      <c r="J14" s="64">
        <f>'Revenue Requirement'!J13*'Project Assumptions'!P$1</f>
        <v>0</v>
      </c>
      <c r="K14" s="64">
        <f>'Revenue Requirement'!K13*'Project Assumptions'!Q$1</f>
        <v>0</v>
      </c>
      <c r="L14" s="64">
        <f>'Revenue Requirement'!L13*'Project Assumptions'!R$1</f>
        <v>0</v>
      </c>
      <c r="M14" s="64">
        <f>'Revenue Requirement'!M13*'Project Assumptions'!S$1</f>
        <v>0</v>
      </c>
      <c r="N14" s="64">
        <f>'Revenue Requirement'!N13*'Project Assumptions'!T$1</f>
        <v>0</v>
      </c>
      <c r="O14" s="64">
        <f>'Revenue Requirement'!O13*'Project Assumptions'!U$1</f>
        <v>0</v>
      </c>
      <c r="P14" s="64">
        <f>'Revenue Requirement'!P13*'Project Assumptions'!V$1</f>
        <v>0</v>
      </c>
      <c r="Q14" s="64">
        <f>'Revenue Requirement'!Q13*'Project Assumptions'!W$1</f>
        <v>0</v>
      </c>
      <c r="R14" s="64">
        <f>'Revenue Requirement'!R13*'Project Assumptions'!X$1</f>
        <v>0</v>
      </c>
      <c r="S14" s="64">
        <f>'Revenue Requirement'!S13*'Project Assumptions'!Y$1</f>
        <v>0</v>
      </c>
      <c r="T14" s="64">
        <f>'Revenue Requirement'!T13*'Project Assumptions'!Z$1</f>
        <v>0</v>
      </c>
      <c r="U14" s="64">
        <f>'Revenue Requirement'!U13*'Project Assumptions'!AA$1</f>
        <v>0</v>
      </c>
      <c r="V14" s="64">
        <f>'Revenue Requirement'!V13*'Project Assumptions'!AB$1</f>
        <v>0</v>
      </c>
      <c r="W14" s="64">
        <f>'Revenue Requirement'!W13*'Project Assumptions'!AC$1</f>
        <v>0</v>
      </c>
      <c r="X14" s="64">
        <f>'Revenue Requirement'!X13*'Project Assumptions'!AD$1</f>
        <v>0</v>
      </c>
      <c r="Y14" s="64">
        <f>'Revenue Requirement'!Y13*'Project Assumptions'!AE$1</f>
        <v>0</v>
      </c>
      <c r="Z14" s="64">
        <f>'Revenue Requirement'!Z13*'Project Assumptions'!AF$1</f>
        <v>0</v>
      </c>
      <c r="AA14" s="64">
        <f>'Revenue Requirement'!AA13*'Project Assumptions'!AG$1</f>
        <v>0</v>
      </c>
      <c r="AB14" s="64">
        <f>'Revenue Requirement'!AB13*'Project Assumptions'!AH$1</f>
        <v>0</v>
      </c>
      <c r="AC14" s="64">
        <f>'Revenue Requirement'!AC13*'Project Assumptions'!AI$1</f>
        <v>0</v>
      </c>
      <c r="AD14" s="64">
        <f>'Revenue Requirement'!AD13*'Project Assumptions'!AJ$1</f>
        <v>0</v>
      </c>
      <c r="AE14" s="64">
        <f>'Revenue Requirement'!AE13*'Project Assumptions'!AK$1</f>
        <v>0</v>
      </c>
      <c r="AF14" s="64">
        <f>'Revenue Requirement'!AF13*'Project Assumptions'!AL$1</f>
        <v>0</v>
      </c>
      <c r="AG14" s="64">
        <f>'Revenue Requirement'!AG13*'Project Assumptions'!AM$1</f>
        <v>0</v>
      </c>
      <c r="AH14" s="64">
        <f>'Revenue Requirement'!AH13*'Project Assumptions'!AN$1</f>
        <v>0</v>
      </c>
      <c r="AI14" s="64">
        <f>'Revenue Requirement'!AI13*'Project Assumptions'!AO$1</f>
        <v>0</v>
      </c>
      <c r="AJ14" s="64">
        <f>'Revenue Requirement'!AJ13*'Project Assumptions'!AP$1</f>
        <v>0</v>
      </c>
      <c r="AK14" s="64">
        <f>'Revenue Requirement'!AK13*'Project Assumptions'!AQ$1</f>
        <v>0</v>
      </c>
      <c r="AL14" s="64">
        <f>'Revenue Requirement'!AL13*'Project Assumptions'!AR$1</f>
        <v>0</v>
      </c>
      <c r="AM14" s="64">
        <f>'Revenue Requirement'!AM13*'Project Assumptions'!AS$1</f>
        <v>0</v>
      </c>
      <c r="AN14" s="64">
        <f>'Revenue Requirement'!AN13*'Project Assumptions'!AT$1</f>
        <v>0</v>
      </c>
      <c r="AO14" s="64">
        <f>'Revenue Requirement'!AO13*'Project Assumptions'!AU$1</f>
        <v>0</v>
      </c>
      <c r="AP14" s="64">
        <f>'Revenue Requirement'!AP13*'Project Assumptions'!AV$1</f>
        <v>0</v>
      </c>
      <c r="AQ14" s="64">
        <f>'Revenue Requirement'!AQ13*'Project Assumptions'!AW$1</f>
        <v>0</v>
      </c>
      <c r="AR14" s="64">
        <f>'Revenue Requirement'!AR13*'Project Assumptions'!AX$1</f>
        <v>0</v>
      </c>
      <c r="AS14" s="64">
        <f>'Revenue Requirement'!AS13*'Project Assumptions'!AY$1</f>
        <v>0</v>
      </c>
      <c r="AT14" s="64">
        <f>'Revenue Requirement'!AT13*'Project Assumptions'!AZ$1</f>
        <v>0</v>
      </c>
      <c r="AU14" s="64">
        <f>'Revenue Requirement'!AU13*'Project Assumptions'!BA$1</f>
        <v>0</v>
      </c>
      <c r="AV14" s="64">
        <f>'Revenue Requirement'!AV13*'Project Assumptions'!BB$1</f>
        <v>0</v>
      </c>
      <c r="AW14" s="64">
        <f>'Revenue Requirement'!AW13*'Project Assumptions'!BC$1</f>
        <v>0</v>
      </c>
      <c r="AX14" s="64">
        <f>'Revenue Requirement'!AX13*'Project Assumptions'!BD$1</f>
        <v>0</v>
      </c>
      <c r="AY14" s="64">
        <f>'Revenue Requirement'!AY13*'Project Assumptions'!BE$1</f>
        <v>0</v>
      </c>
      <c r="AZ14" s="64">
        <f>'Revenue Requirement'!AZ13*'Project Assumptions'!BF$1</f>
        <v>0</v>
      </c>
      <c r="BA14" s="64">
        <f>'Revenue Requirement'!BA13*'Project Assumptions'!BG$1</f>
        <v>0</v>
      </c>
      <c r="BB14" s="64">
        <f>'Revenue Requirement'!BB13*'Project Assumptions'!BH$1</f>
        <v>0</v>
      </c>
      <c r="BC14" s="64">
        <f>'Revenue Requirement'!BC13*'Project Assumptions'!BI$1</f>
        <v>0</v>
      </c>
    </row>
    <row r="15" spans="1:57">
      <c r="A15" s="50"/>
      <c r="B15" s="63" t="s">
        <v>65</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row>
    <row r="16" spans="1:57">
      <c r="B16" s="66" t="s">
        <v>66</v>
      </c>
      <c r="C16" s="64">
        <f>((C6-SUM(C9:C14,C24))*FIT_Tax_Rate-C17)*'Project Assumptions'!I$1</f>
        <v>0</v>
      </c>
      <c r="D16" s="64">
        <f>((D6-SUM(D9:D14,D24))*FIT_Tax_Rate-D17)*'Project Assumptions'!J$1</f>
        <v>-486125.86095738714</v>
      </c>
      <c r="E16" s="64">
        <f>((E6-SUM(E9:E14,E24))*FIT_Tax_Rate-E17)*'Project Assumptions'!K$1</f>
        <v>-1269706.4026641133</v>
      </c>
      <c r="F16" s="64">
        <f>((F6-SUM(F9:F14,F24))*FIT_Tax_Rate-F17)*'Project Assumptions'!L$1</f>
        <v>-2915371.3223223081</v>
      </c>
      <c r="G16" s="64">
        <f>((G6-SUM(G9:G14,G24))*FIT_Tax_Rate-G17)*'Project Assumptions'!M$1</f>
        <v>-3901348.5937011093</v>
      </c>
      <c r="H16" s="64">
        <f>((H6-SUM(H9:H14,H24))*FIT_Tax_Rate-H17)*'Project Assumptions'!N$1</f>
        <v>-4210092.6608006358</v>
      </c>
      <c r="I16" s="64">
        <f>((I6-SUM(I9:I14,I24))*FIT_Tax_Rate-I17)*'Project Assumptions'!O$1</f>
        <v>-4134986.5863824533</v>
      </c>
      <c r="J16" s="64">
        <f>((J6-SUM(J9:J14,J24))*FIT_Tax_Rate-J17)*'Project Assumptions'!P$1</f>
        <v>-3799854.5100331912</v>
      </c>
      <c r="K16" s="64">
        <f>((K6-SUM(K9:K14,K24))*FIT_Tax_Rate-K17)*'Project Assumptions'!Q$1</f>
        <v>-3055257.6228103396</v>
      </c>
      <c r="L16" s="64">
        <f>((L6-SUM(L9:L14,L24))*FIT_Tax_Rate-L17)*'Project Assumptions'!R$1</f>
        <v>-844198.35130329058</v>
      </c>
      <c r="M16" s="64">
        <f>((M6-SUM(M9:M14,M24))*FIT_Tax_Rate-M17)*'Project Assumptions'!S$1</f>
        <v>1137570.7560423007</v>
      </c>
      <c r="N16" s="64">
        <f>((N6-SUM(N9:N14,N24))*FIT_Tax_Rate-N17)*'Project Assumptions'!T$1</f>
        <v>2549974.2694429662</v>
      </c>
      <c r="O16" s="64">
        <f>((O6-SUM(O9:O14,O24))*FIT_Tax_Rate-O17)*'Project Assumptions'!U$1</f>
        <v>3699787.3113440322</v>
      </c>
      <c r="P16" s="64">
        <f>((P6-SUM(P9:P14,P24))*FIT_Tax_Rate-P17)*'Project Assumptions'!V$1</f>
        <v>5034085.8174608592</v>
      </c>
      <c r="Q16" s="64">
        <f>((Q6-SUM(Q9:Q14,Q24))*FIT_Tax_Rate-Q17)*'Project Assumptions'!W$1</f>
        <v>6357511.7222295934</v>
      </c>
      <c r="R16" s="64">
        <f>((R6-SUM(R9:R14,R24))*FIT_Tax_Rate-R17)*'Project Assumptions'!X$1</f>
        <v>7398983.4616106581</v>
      </c>
      <c r="S16" s="64">
        <f>((S6-SUM(S9:S14,S24))*FIT_Tax_Rate-S17)*'Project Assumptions'!Y$1</f>
        <v>8528012.6660705917</v>
      </c>
      <c r="T16" s="64">
        <f>((T6-SUM(T9:T14,T24))*FIT_Tax_Rate-T17)*'Project Assumptions'!Z$1</f>
        <v>9744725.8631514013</v>
      </c>
      <c r="U16" s="64">
        <f>((U6-SUM(U9:U14,U24))*FIT_Tax_Rate-U17)*'Project Assumptions'!AA$1</f>
        <v>10907599.296023445</v>
      </c>
      <c r="V16" s="64">
        <f>((V6-SUM(V9:V14,V24))*FIT_Tax_Rate-V17)*'Project Assumptions'!AB$1</f>
        <v>11243390.522123612</v>
      </c>
      <c r="W16" s="64">
        <f>((W6-SUM(W9:W14,W24))*FIT_Tax_Rate-W17)*'Project Assumptions'!AC$1</f>
        <v>10849776.555716094</v>
      </c>
      <c r="X16" s="64">
        <f>((X6-SUM(X9:X14,X24))*FIT_Tax_Rate-X17)*'Project Assumptions'!AD$1</f>
        <v>10455492.406027712</v>
      </c>
      <c r="Y16" s="64">
        <f>((Y6-SUM(Y9:Y14,Y24))*FIT_Tax_Rate-Y17)*'Project Assumptions'!AE$1</f>
        <v>9697248.2102328464</v>
      </c>
      <c r="Z16" s="64">
        <f>((Z6-SUM(Z9:Z14,Z24))*FIT_Tax_Rate-Z17)*'Project Assumptions'!AF$1</f>
        <v>8719420.0730003994</v>
      </c>
      <c r="AA16" s="64">
        <f>((AA6-SUM(AA9:AA14,AA24))*FIT_Tax_Rate-AA17)*'Project Assumptions'!AG$1</f>
        <v>6946882.8472979087</v>
      </c>
      <c r="AB16" s="64">
        <f>((AB6-SUM(AB9:AB14,AB24))*FIT_Tax_Rate-AB17)*'Project Assumptions'!AH$1</f>
        <v>5484395.3467959957</v>
      </c>
      <c r="AC16" s="64">
        <f>((AC6-SUM(AC9:AC14,AC24))*FIT_Tax_Rate-AC17)*'Project Assumptions'!AI$1</f>
        <v>4037261.5287717916</v>
      </c>
      <c r="AD16" s="64">
        <f>((AD6-SUM(AD9:AD14,AD24))*FIT_Tax_Rate-AD17)*'Project Assumptions'!AJ$1</f>
        <v>2612095.7956313691</v>
      </c>
      <c r="AE16" s="64">
        <f>((AE6-SUM(AE9:AE14,AE24))*FIT_Tax_Rate-AE17)*'Project Assumptions'!AK$1</f>
        <v>1209557.1899212392</v>
      </c>
      <c r="AF16" s="64">
        <f>((AF6-SUM(AF9:AF14,AF24))*FIT_Tax_Rate-AF17)*'Project Assumptions'!AL$1</f>
        <v>43697.801668368156</v>
      </c>
      <c r="AG16" s="64">
        <f>((AG6-SUM(AG9:AG14,AG24))*FIT_Tax_Rate-AG17)*'Project Assumptions'!AM$1</f>
        <v>30976.032312438703</v>
      </c>
      <c r="AH16" s="64">
        <f>((AH6-SUM(AH9:AH14,AH24))*FIT_Tax_Rate-AH17)*'Project Assumptions'!AN$1</f>
        <v>20362.938023562088</v>
      </c>
      <c r="AI16" s="64">
        <f>((AI6-SUM(AI9:AI14,AI24))*FIT_Tax_Rate-AI17)*'Project Assumptions'!AO$1</f>
        <v>10096.679115821422</v>
      </c>
      <c r="AJ16" s="64">
        <f>((AJ6-SUM(AJ9:AJ14,AJ24))*FIT_Tax_Rate-AJ17)*'Project Assumptions'!AP$1</f>
        <v>1.0419192894914886E-9</v>
      </c>
      <c r="AK16" s="64">
        <f>((AK6-SUM(AK9:AK14,AK24))*FIT_Tax_Rate-AK17)*'Project Assumptions'!AQ$1</f>
        <v>1.0419192894914886E-9</v>
      </c>
      <c r="AL16" s="64">
        <f>((AL6-SUM(AL9:AL14,AL24))*FIT_Tax_Rate-AL17)*'Project Assumptions'!AR$1</f>
        <v>1.0419192894914886E-9</v>
      </c>
      <c r="AM16" s="64">
        <f>((AM6-SUM(AM9:AM14,AM24))*FIT_Tax_Rate-AM17)*'Project Assumptions'!AS$1</f>
        <v>1.0419192894914886E-9</v>
      </c>
      <c r="AN16" s="64">
        <f>((AN6-SUM(AN9:AN14,AN24))*FIT_Tax_Rate-AN17)*'Project Assumptions'!AT$1</f>
        <v>1.0419192894914886E-9</v>
      </c>
      <c r="AO16" s="64">
        <f>((AO6-SUM(AO9:AO14,AO24))*FIT_Tax_Rate-AO17)*'Project Assumptions'!AU$1</f>
        <v>1.0419192894914886E-9</v>
      </c>
      <c r="AP16" s="64">
        <f>((AP6-SUM(AP9:AP14,AP24))*FIT_Tax_Rate-AP17)*'Project Assumptions'!AV$1</f>
        <v>1.0419192894914886E-9</v>
      </c>
      <c r="AQ16" s="64">
        <f>((AQ6-SUM(AQ9:AQ14,AQ24))*FIT_Tax_Rate-AQ17)*'Project Assumptions'!AW$1</f>
        <v>1.0419192894914886E-9</v>
      </c>
      <c r="AR16" s="64">
        <f>((AR6-SUM(AR9:AR14,AR24))*FIT_Tax_Rate-AR17)*'Project Assumptions'!AX$1</f>
        <v>1.0419192894914886E-9</v>
      </c>
      <c r="AS16" s="64">
        <f>((AS6-SUM(AS9:AS14,AS24))*FIT_Tax_Rate-AS17)*'Project Assumptions'!AY$1</f>
        <v>1.0419192894914886E-9</v>
      </c>
      <c r="AT16" s="64">
        <f>((AT6-SUM(AT9:AT14,AT24))*FIT_Tax_Rate-AT17)*'Project Assumptions'!AZ$1</f>
        <v>1.0419192894914886E-9</v>
      </c>
      <c r="AU16" s="64">
        <f>((AU6-SUM(AU9:AU14,AU24))*FIT_Tax_Rate-AU17)*'Project Assumptions'!BA$1</f>
        <v>1.0419192894914886E-9</v>
      </c>
      <c r="AV16" s="64">
        <f>((AV6-SUM(AV9:AV14,AV24))*FIT_Tax_Rate-AV17)*'Project Assumptions'!BB$1</f>
        <v>1.0419192894914886E-9</v>
      </c>
      <c r="AW16" s="64">
        <f>((AW6-SUM(AW9:AW14,AW24))*FIT_Tax_Rate-AW17)*'Project Assumptions'!BC$1</f>
        <v>1.0419192894914886E-9</v>
      </c>
      <c r="AX16" s="64">
        <f>((AX6-SUM(AX9:AX14,AX24))*FIT_Tax_Rate-AX17)*'Project Assumptions'!BD$1</f>
        <v>1.0419192894914886E-9</v>
      </c>
      <c r="AY16" s="64">
        <f>((AY6-SUM(AY9:AY14,AY24))*FIT_Tax_Rate-AY17)*'Project Assumptions'!BE$1</f>
        <v>1.0419192894914886E-9</v>
      </c>
      <c r="AZ16" s="64">
        <f>((AZ6-SUM(AZ9:AZ14,AZ24))*FIT_Tax_Rate-AZ17)*'Project Assumptions'!BF$1</f>
        <v>1.0419192894914886E-9</v>
      </c>
      <c r="BA16" s="64">
        <f>((BA6-SUM(BA9:BA14,BA24))*FIT_Tax_Rate-BA17)*'Project Assumptions'!BG$1</f>
        <v>1.0419192894914886E-9</v>
      </c>
      <c r="BB16" s="64">
        <f>((BB6-SUM(BB9:BB14,BB24))*FIT_Tax_Rate-BB17)*'Project Assumptions'!BH$1</f>
        <v>1.0419192894914886E-9</v>
      </c>
      <c r="BC16" s="64">
        <f>((BC6-SUM(BC9:BC14,BC24))*FIT_Tax_Rate-BC17)*'Project Assumptions'!BI$1</f>
        <v>1.0419192894914886E-9</v>
      </c>
    </row>
    <row r="17" spans="1:57">
      <c r="B17" s="66" t="s">
        <v>67</v>
      </c>
      <c r="C17" s="64">
        <f>'Plant Results'!C78*'Project Assumptions'!I$1</f>
        <v>0</v>
      </c>
      <c r="D17" s="64">
        <f>'Plant Results'!D78*'Project Assumptions'!J$1</f>
        <v>746613.29560270067</v>
      </c>
      <c r="E17" s="64">
        <f>'Plant Results'!E78*'Project Assumptions'!K$1</f>
        <v>2190525.8157905135</v>
      </c>
      <c r="F17" s="64">
        <f>'Plant Results'!F78*'Project Assumptions'!L$1</f>
        <v>5180965.4193327334</v>
      </c>
      <c r="G17" s="64">
        <f>'Plant Results'!G78*'Project Assumptions'!M$1</f>
        <v>7792215.984017184</v>
      </c>
      <c r="H17" s="64">
        <f>'Plant Results'!H78*'Project Assumptions'!N$1</f>
        <v>9427959.0935174804</v>
      </c>
      <c r="I17" s="64">
        <f>'Plant Results'!I78*'Project Assumptions'!O$1</f>
        <v>10613223.324965106</v>
      </c>
      <c r="J17" s="64">
        <f>'Plant Results'!J78*'Project Assumptions'!P$1</f>
        <v>11476119.600883113</v>
      </c>
      <c r="K17" s="64">
        <f>'Plant Results'!K78*'Project Assumptions'!Q$1</f>
        <v>11720026.731388012</v>
      </c>
      <c r="L17" s="64">
        <f>'Plant Results'!L78*'Project Assumptions'!R$1</f>
        <v>9490137.0566184074</v>
      </c>
      <c r="M17" s="64">
        <f>'Plant Results'!M78*'Project Assumptions'!S$1</f>
        <v>6696106.5071149757</v>
      </c>
      <c r="N17" s="64">
        <f>'Plant Results'!N78*'Project Assumptions'!T$1</f>
        <v>4532332.1021795664</v>
      </c>
      <c r="O17" s="64">
        <f>'Plant Results'!O78*'Project Assumptions'!U$1</f>
        <v>2681540.8085310077</v>
      </c>
      <c r="P17" s="64">
        <f>'Plant Results'!P78*'Project Assumptions'!V$1</f>
        <v>687291.27510196669</v>
      </c>
      <c r="Q17" s="64">
        <f>'Plant Results'!Q78*'Project Assumptions'!W$1</f>
        <v>-1253777.541664127</v>
      </c>
      <c r="R17" s="64">
        <f>'Plant Results'!R78*'Project Assumptions'!X$1</f>
        <v>-2867904.3375452352</v>
      </c>
      <c r="S17" s="64">
        <f>'Plant Results'!S78*'Project Assumptions'!Y$1</f>
        <v>-4528154.257727447</v>
      </c>
      <c r="T17" s="64">
        <f>'Plant Results'!T78*'Project Assumptions'!Z$1</f>
        <v>-6233499.5404945072</v>
      </c>
      <c r="U17" s="64">
        <f>'Plant Results'!U78*'Project Assumptions'!AA$1</f>
        <v>-7843057.8860511165</v>
      </c>
      <c r="V17" s="64">
        <f>'Plant Results'!V78*'Project Assumptions'!AB$1</f>
        <v>-8595643.1865832079</v>
      </c>
      <c r="W17" s="64">
        <f>'Plant Results'!W78*'Project Assumptions'!AC$1</f>
        <v>-8609129.3380610161</v>
      </c>
      <c r="X17" s="64">
        <f>'Plant Results'!X78*'Project Assumptions'!AD$1</f>
        <v>-8621616.6352417003</v>
      </c>
      <c r="Y17" s="64">
        <f>'Plant Results'!Y78*'Project Assumptions'!AE$1</f>
        <v>-8261051.7421061359</v>
      </c>
      <c r="Z17" s="64">
        <f>'Plant Results'!Z78*'Project Assumptions'!AF$1</f>
        <v>-7657552.5045820717</v>
      </c>
      <c r="AA17" s="64">
        <f>'Plant Results'!AA78*'Project Assumptions'!AG$1</f>
        <v>-6210931.5893285275</v>
      </c>
      <c r="AB17" s="64">
        <f>'Plant Results'!AB78*'Project Assumptions'!AH$1</f>
        <v>-5012193.1313243164</v>
      </c>
      <c r="AC17" s="64">
        <f>'Plant Results'!AC78*'Project Assumptions'!AI$1</f>
        <v>-3771480.0242937137</v>
      </c>
      <c r="AD17" s="64">
        <f>'Plant Results'!AD78*'Project Assumptions'!AJ$1</f>
        <v>-2493545.5240521943</v>
      </c>
      <c r="AE17" s="64">
        <f>'Plant Results'!AE78*'Project Assumptions'!AK$1</f>
        <v>-1177272.9888034284</v>
      </c>
      <c r="AF17" s="64">
        <f>'Plant Results'!AF78*'Project Assumptions'!AL$1</f>
        <v>-40020.608739617674</v>
      </c>
      <c r="AG17" s="64">
        <f>'Plant Results'!AG78*'Project Assumptions'!AM$1</f>
        <v>-28918.953567690529</v>
      </c>
      <c r="AH17" s="64">
        <f>'Plant Results'!AH78*'Project Assumptions'!AN$1</f>
        <v>-19442.374673137132</v>
      </c>
      <c r="AI17" s="64">
        <f>'Plant Results'!AI78*'Project Assumptions'!AO$1</f>
        <v>-9864.8502036114496</v>
      </c>
      <c r="AJ17" s="64">
        <f>'Plant Results'!AJ78*'Project Assumptions'!AP$1</f>
        <v>0</v>
      </c>
      <c r="AK17" s="64">
        <f>'Plant Results'!AK78*'Project Assumptions'!AQ$1</f>
        <v>0</v>
      </c>
      <c r="AL17" s="64">
        <f>'Plant Results'!AL78*'Project Assumptions'!AR$1</f>
        <v>0</v>
      </c>
      <c r="AM17" s="64">
        <f>'Plant Results'!AM78*'Project Assumptions'!AS$1</f>
        <v>0</v>
      </c>
      <c r="AN17" s="64">
        <f>'Plant Results'!AN78*'Project Assumptions'!AT$1</f>
        <v>0</v>
      </c>
      <c r="AO17" s="64">
        <f>'Plant Results'!AO78*'Project Assumptions'!AU$1</f>
        <v>0</v>
      </c>
      <c r="AP17" s="64">
        <f>'Plant Results'!AP78*'Project Assumptions'!AV$1</f>
        <v>0</v>
      </c>
      <c r="AQ17" s="64">
        <f>'Plant Results'!AQ78*'Project Assumptions'!AW$1</f>
        <v>0</v>
      </c>
      <c r="AR17" s="64">
        <f>'Plant Results'!AR78*'Project Assumptions'!AX$1</f>
        <v>0</v>
      </c>
      <c r="AS17" s="64">
        <f>'Plant Results'!AS78*'Project Assumptions'!AY$1</f>
        <v>0</v>
      </c>
      <c r="AT17" s="64">
        <f>'Plant Results'!AT78*'Project Assumptions'!AZ$1</f>
        <v>0</v>
      </c>
      <c r="AU17" s="64">
        <f>'Plant Results'!AU78*'Project Assumptions'!BA$1</f>
        <v>0</v>
      </c>
      <c r="AV17" s="64">
        <f>'Plant Results'!AV78*'Project Assumptions'!BB$1</f>
        <v>0</v>
      </c>
      <c r="AW17" s="64">
        <f>'Plant Results'!AW78*'Project Assumptions'!BC$1</f>
        <v>0</v>
      </c>
      <c r="AX17" s="64">
        <f>'Plant Results'!AX78*'Project Assumptions'!BD$1</f>
        <v>0</v>
      </c>
      <c r="AY17" s="64">
        <f>'Plant Results'!AY78*'Project Assumptions'!BE$1</f>
        <v>0</v>
      </c>
      <c r="AZ17" s="64">
        <f>'Plant Results'!AZ78*'Project Assumptions'!BF$1</f>
        <v>0</v>
      </c>
      <c r="BA17" s="64">
        <f>'Plant Results'!BA78*'Project Assumptions'!BG$1</f>
        <v>0</v>
      </c>
      <c r="BB17" s="64">
        <f>'Plant Results'!BB78*'Project Assumptions'!BH$1</f>
        <v>0</v>
      </c>
      <c r="BC17" s="64">
        <f>'Plant Results'!BC78*'Project Assumptions'!BI$1</f>
        <v>0</v>
      </c>
    </row>
    <row r="18" spans="1:57">
      <c r="B18" s="217" t="s">
        <v>68</v>
      </c>
      <c r="C18" s="218">
        <f>SUM(C9:C17)</f>
        <v>-494884.6152455663</v>
      </c>
      <c r="D18" s="218">
        <f>SUM(D9:D17)</f>
        <v>-6575262.147005965</v>
      </c>
      <c r="E18" s="218">
        <f t="shared" ref="E18:AO18" si="15">SUM(E9:E17)</f>
        <v>-5817552.7275965773</v>
      </c>
      <c r="F18" s="218">
        <f>SUM(F9:F17)</f>
        <v>-9212652.8455584403</v>
      </c>
      <c r="G18" s="218">
        <f>SUM(G9:G17)</f>
        <v>-689679.94684269093</v>
      </c>
      <c r="H18" s="218">
        <f t="shared" si="15"/>
        <v>3706610.8203345109</v>
      </c>
      <c r="I18" s="218">
        <f t="shared" si="15"/>
        <v>6724031.1212896742</v>
      </c>
      <c r="J18" s="218">
        <f t="shared" si="15"/>
        <v>9595358.0393195897</v>
      </c>
      <c r="K18" s="218">
        <f t="shared" si="15"/>
        <v>11981252.823921718</v>
      </c>
      <c r="L18" s="218">
        <f t="shared" si="15"/>
        <v>12727659.421656284</v>
      </c>
      <c r="M18" s="218">
        <f t="shared" si="15"/>
        <v>7781161.2888120702</v>
      </c>
      <c r="N18" s="218">
        <f t="shared" si="15"/>
        <v>3692003.6827600603</v>
      </c>
      <c r="O18" s="218">
        <f t="shared" si="15"/>
        <v>-648814.588320259</v>
      </c>
      <c r="P18" s="218">
        <f t="shared" si="15"/>
        <v>-5422568.7170456313</v>
      </c>
      <c r="Q18" s="218">
        <f t="shared" si="15"/>
        <v>-10420295.096751798</v>
      </c>
      <c r="R18" s="218">
        <f t="shared" si="15"/>
        <v>-14877150.31412976</v>
      </c>
      <c r="S18" s="218">
        <f t="shared" si="15"/>
        <v>-20415418.19124987</v>
      </c>
      <c r="T18" s="218">
        <f t="shared" si="15"/>
        <v>-25565847.012876034</v>
      </c>
      <c r="U18" s="218">
        <f t="shared" si="15"/>
        <v>-29127737.617731243</v>
      </c>
      <c r="V18" s="218">
        <f t="shared" si="15"/>
        <v>-31278231.3539351</v>
      </c>
      <c r="W18" s="218">
        <f t="shared" si="15"/>
        <v>-32194216.747208789</v>
      </c>
      <c r="X18" s="218">
        <f t="shared" si="15"/>
        <v>-33122605.955868527</v>
      </c>
      <c r="Y18" s="218">
        <f t="shared" si="15"/>
        <v>26452636.633836035</v>
      </c>
      <c r="Z18" s="218">
        <f t="shared" si="15"/>
        <v>24180924.774389811</v>
      </c>
      <c r="AA18" s="218">
        <f t="shared" si="15"/>
        <v>19463342.945214547</v>
      </c>
      <c r="AB18" s="218">
        <f t="shared" si="15"/>
        <v>15561670.169456322</v>
      </c>
      <c r="AC18" s="218">
        <f t="shared" si="15"/>
        <v>11602766.932763238</v>
      </c>
      <c r="AD18" s="218">
        <f t="shared" si="15"/>
        <v>7603076.6299456684</v>
      </c>
      <c r="AE18" s="218">
        <f t="shared" si="15"/>
        <v>3561375.6490198756</v>
      </c>
      <c r="AF18" s="218">
        <f t="shared" si="15"/>
        <v>124143.36238070812</v>
      </c>
      <c r="AG18" s="218">
        <f t="shared" si="15"/>
        <v>88990.496674555819</v>
      </c>
      <c r="AH18" s="218">
        <f t="shared" si="15"/>
        <v>59277.287500620325</v>
      </c>
      <c r="AI18" s="218">
        <f t="shared" si="15"/>
        <v>29796.068992953034</v>
      </c>
      <c r="AJ18" s="218">
        <f t="shared" si="15"/>
        <v>1.2426780293766944E-9</v>
      </c>
      <c r="AK18" s="218">
        <f t="shared" si="15"/>
        <v>1.2426780293766944E-9</v>
      </c>
      <c r="AL18" s="218">
        <f t="shared" si="15"/>
        <v>1.2426780293766944E-9</v>
      </c>
      <c r="AM18" s="218">
        <f t="shared" si="15"/>
        <v>1.2426780293766944E-9</v>
      </c>
      <c r="AN18" s="218">
        <f t="shared" si="15"/>
        <v>1.2426780293766944E-9</v>
      </c>
      <c r="AO18" s="218">
        <f t="shared" si="15"/>
        <v>1.2426780293766944E-9</v>
      </c>
      <c r="AP18" s="218">
        <f t="shared" ref="AP18:BC18" si="16">SUM(AP9:AP17)</f>
        <v>1.2426780293766944E-9</v>
      </c>
      <c r="AQ18" s="218">
        <f t="shared" si="16"/>
        <v>1.2426780293766944E-9</v>
      </c>
      <c r="AR18" s="218">
        <f t="shared" si="16"/>
        <v>1.2426780293766944E-9</v>
      </c>
      <c r="AS18" s="218">
        <f t="shared" si="16"/>
        <v>1.2426780293766944E-9</v>
      </c>
      <c r="AT18" s="218">
        <f t="shared" si="16"/>
        <v>1.2426780293766944E-9</v>
      </c>
      <c r="AU18" s="218">
        <f t="shared" si="16"/>
        <v>1.2426780293766944E-9</v>
      </c>
      <c r="AV18" s="218">
        <f t="shared" si="16"/>
        <v>1.2426780293766944E-9</v>
      </c>
      <c r="AW18" s="218">
        <f t="shared" si="16"/>
        <v>1.2426780293766944E-9</v>
      </c>
      <c r="AX18" s="218">
        <f t="shared" si="16"/>
        <v>1.2426780293766944E-9</v>
      </c>
      <c r="AY18" s="218">
        <f t="shared" si="16"/>
        <v>1.2426780293766944E-9</v>
      </c>
      <c r="AZ18" s="218">
        <f t="shared" si="16"/>
        <v>1.2426780293766944E-9</v>
      </c>
      <c r="BA18" s="218">
        <f t="shared" si="16"/>
        <v>1.2426780293766944E-9</v>
      </c>
      <c r="BB18" s="218">
        <f t="shared" si="16"/>
        <v>1.2426780293766944E-9</v>
      </c>
      <c r="BC18" s="218">
        <f t="shared" si="16"/>
        <v>1.2426780293766944E-9</v>
      </c>
    </row>
    <row r="19" spans="1:57" ht="10.5" customHeight="1">
      <c r="B19" s="66"/>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row>
    <row r="20" spans="1:57">
      <c r="B20" s="219" t="s">
        <v>69</v>
      </c>
      <c r="C20" s="220">
        <f>C6-C18</f>
        <v>0</v>
      </c>
      <c r="D20" s="220">
        <f>D6-D18</f>
        <v>799745.12418240774</v>
      </c>
      <c r="E20" s="220">
        <f t="shared" ref="E20:AO20" si="17">E6-E18</f>
        <v>2827087.7514805086</v>
      </c>
      <c r="F20" s="220">
        <f t="shared" si="17"/>
        <v>6955797.4453841168</v>
      </c>
      <c r="G20" s="220">
        <f>G6-G18</f>
        <v>11945690.311252777</v>
      </c>
      <c r="H20" s="220">
        <f t="shared" si="17"/>
        <v>16019825.46253092</v>
      </c>
      <c r="I20" s="220">
        <f t="shared" si="17"/>
        <v>19889397.935970783</v>
      </c>
      <c r="J20" s="220">
        <f t="shared" si="17"/>
        <v>23567568.956629157</v>
      </c>
      <c r="K20" s="220">
        <f t="shared" si="17"/>
        <v>26602461.09831316</v>
      </c>
      <c r="L20" s="220">
        <f t="shared" si="17"/>
        <v>26544648.239830669</v>
      </c>
      <c r="M20" s="220">
        <f t="shared" si="17"/>
        <v>24050853.754842866</v>
      </c>
      <c r="N20" s="220">
        <f t="shared" si="17"/>
        <v>21744004.644152712</v>
      </c>
      <c r="O20" s="220">
        <f t="shared" si="17"/>
        <v>19591870.358841412</v>
      </c>
      <c r="P20" s="220">
        <f t="shared" si="17"/>
        <v>17565697.322853051</v>
      </c>
      <c r="Q20" s="220">
        <f t="shared" si="17"/>
        <v>15669418.110658821</v>
      </c>
      <c r="R20" s="220">
        <f t="shared" si="17"/>
        <v>13911260.025613733</v>
      </c>
      <c r="S20" s="220">
        <f t="shared" si="17"/>
        <v>12280313.11317607</v>
      </c>
      <c r="T20" s="220">
        <f t="shared" si="17"/>
        <v>10780121.257170584</v>
      </c>
      <c r="U20" s="220">
        <f t="shared" si="17"/>
        <v>9408715.0645772889</v>
      </c>
      <c r="V20" s="220">
        <f t="shared" si="17"/>
        <v>8129079.3337063529</v>
      </c>
      <c r="W20" s="220">
        <f t="shared" si="17"/>
        <v>6879205.8617817424</v>
      </c>
      <c r="X20" s="220">
        <f t="shared" si="17"/>
        <v>5630341.4713242315</v>
      </c>
      <c r="Y20" s="220">
        <f t="shared" si="17"/>
        <v>4409391.663426239</v>
      </c>
      <c r="Z20" s="220">
        <f t="shared" si="17"/>
        <v>3260131.9580973759</v>
      </c>
      <c r="AA20" s="220">
        <f t="shared" si="17"/>
        <v>2259507.9528436363</v>
      </c>
      <c r="AB20" s="220">
        <f t="shared" si="17"/>
        <v>1449749.0827755779</v>
      </c>
      <c r="AC20" s="220">
        <f t="shared" si="17"/>
        <v>815998.90832980536</v>
      </c>
      <c r="AD20" s="220">
        <f t="shared" si="17"/>
        <v>363971.49749292526</v>
      </c>
      <c r="AE20" s="220">
        <f t="shared" si="17"/>
        <v>99118.533173201606</v>
      </c>
      <c r="AF20" s="220">
        <f t="shared" si="17"/>
        <v>11289.669766415129</v>
      </c>
      <c r="AG20" s="220">
        <f t="shared" si="17"/>
        <v>6315.6163306367671</v>
      </c>
      <c r="AH20" s="220">
        <f t="shared" si="17"/>
        <v>2826.3015911144903</v>
      </c>
      <c r="AI20" s="220">
        <f t="shared" si="17"/>
        <v>711.75810240861028</v>
      </c>
      <c r="AJ20" s="220">
        <f t="shared" si="17"/>
        <v>3.1988870123313978E-9</v>
      </c>
      <c r="AK20" s="220">
        <f t="shared" si="17"/>
        <v>3.1988870123313978E-9</v>
      </c>
      <c r="AL20" s="220">
        <f t="shared" si="17"/>
        <v>3.1988870123313978E-9</v>
      </c>
      <c r="AM20" s="220">
        <f t="shared" si="17"/>
        <v>3.1988870123313978E-9</v>
      </c>
      <c r="AN20" s="220">
        <f t="shared" si="17"/>
        <v>3.1988870123313978E-9</v>
      </c>
      <c r="AO20" s="220">
        <f t="shared" si="17"/>
        <v>3.1988870123313978E-9</v>
      </c>
      <c r="AP20" s="220">
        <f t="shared" ref="AP20:BC20" si="18">AP6-AP18</f>
        <v>3.1988870123313978E-9</v>
      </c>
      <c r="AQ20" s="220">
        <f t="shared" si="18"/>
        <v>3.1988870123313978E-9</v>
      </c>
      <c r="AR20" s="220">
        <f t="shared" si="18"/>
        <v>3.1988870123313978E-9</v>
      </c>
      <c r="AS20" s="220">
        <f t="shared" si="18"/>
        <v>3.1988870123313978E-9</v>
      </c>
      <c r="AT20" s="220">
        <f t="shared" si="18"/>
        <v>3.1988870123313978E-9</v>
      </c>
      <c r="AU20" s="220">
        <f t="shared" si="18"/>
        <v>3.1988870123313978E-9</v>
      </c>
      <c r="AV20" s="220">
        <f t="shared" si="18"/>
        <v>3.1988870123313978E-9</v>
      </c>
      <c r="AW20" s="220">
        <f t="shared" si="18"/>
        <v>3.1988870123313978E-9</v>
      </c>
      <c r="AX20" s="220">
        <f t="shared" si="18"/>
        <v>3.1988870123313978E-9</v>
      </c>
      <c r="AY20" s="220">
        <f t="shared" si="18"/>
        <v>3.1988870123313978E-9</v>
      </c>
      <c r="AZ20" s="220">
        <f t="shared" si="18"/>
        <v>3.1988870123313978E-9</v>
      </c>
      <c r="BA20" s="220">
        <f t="shared" si="18"/>
        <v>3.1988870123313978E-9</v>
      </c>
      <c r="BB20" s="220">
        <f t="shared" si="18"/>
        <v>3.1988870123313978E-9</v>
      </c>
      <c r="BC20" s="220">
        <f t="shared" si="18"/>
        <v>3.1988870123313978E-9</v>
      </c>
    </row>
    <row r="21" spans="1:57" ht="10.5" customHeight="1">
      <c r="B21" s="66"/>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row>
    <row r="22" spans="1:57">
      <c r="B22" s="63" t="s">
        <v>10</v>
      </c>
      <c r="C22" s="64">
        <f>'Capital Results '!D71</f>
        <v>768990.21816739161</v>
      </c>
      <c r="D22" s="64">
        <f>'Capital Results '!E71</f>
        <v>2025481.5144212407</v>
      </c>
      <c r="E22" s="64">
        <f>'Capital Results '!F71</f>
        <v>4236447.1576836267</v>
      </c>
      <c r="F22" s="64">
        <f>'Capital Results '!G71</f>
        <v>5449288.1215850608</v>
      </c>
      <c r="G22" s="64">
        <f>'Capital Results '!H71</f>
        <v>5025129.8825065289</v>
      </c>
      <c r="H22" s="64">
        <f>'Capital Results '!I71</f>
        <v>5188269.1733730286</v>
      </c>
      <c r="I22" s="64">
        <f>'Capital Results '!J71</f>
        <v>5343917.2485742187</v>
      </c>
      <c r="J22" s="64">
        <f>'Capital Results '!K71</f>
        <v>5054120.1744399369</v>
      </c>
      <c r="K22" s="64">
        <f>'Capital Results '!L71</f>
        <v>2365543.2478642827</v>
      </c>
      <c r="L22" s="64">
        <f>'Capital Results '!M71</f>
        <v>42389.978312690735</v>
      </c>
      <c r="M22" s="64">
        <f>'Capital Results '!N71</f>
        <v>39250.356748868478</v>
      </c>
      <c r="N22" s="64">
        <f>'Capital Results '!O71</f>
        <v>40050.17330830884</v>
      </c>
      <c r="O22" s="64">
        <f>'Capital Results '!P71</f>
        <v>20321.023895348819</v>
      </c>
      <c r="P22" s="64">
        <f>'Capital Results '!Q71</f>
        <v>0</v>
      </c>
      <c r="Q22" s="64">
        <f>'Capital Results '!R71</f>
        <v>0</v>
      </c>
      <c r="R22" s="64">
        <f>'Capital Results '!S71</f>
        <v>0</v>
      </c>
      <c r="S22" s="64">
        <f>'Capital Results '!T71</f>
        <v>0</v>
      </c>
      <c r="T22" s="64">
        <f>'Capital Results '!U71</f>
        <v>0</v>
      </c>
      <c r="U22" s="64">
        <f>'Capital Results '!V71</f>
        <v>0</v>
      </c>
      <c r="V22" s="64">
        <f>'Capital Results '!W71</f>
        <v>0</v>
      </c>
      <c r="W22" s="64">
        <f>'Capital Results '!X71</f>
        <v>0</v>
      </c>
      <c r="X22" s="64">
        <f>'Capital Results '!Y71</f>
        <v>0</v>
      </c>
      <c r="Y22" s="64">
        <f>'Capital Results '!Z71</f>
        <v>0</v>
      </c>
      <c r="Z22" s="64">
        <f>'Capital Results '!AA71</f>
        <v>0</v>
      </c>
      <c r="AA22" s="64">
        <f>'Capital Results '!AB71</f>
        <v>0</v>
      </c>
      <c r="AB22" s="64">
        <f>'Capital Results '!AC71</f>
        <v>0</v>
      </c>
      <c r="AC22" s="64">
        <f>'Capital Results '!AD71</f>
        <v>0</v>
      </c>
      <c r="AD22" s="64">
        <f>'Capital Results '!AE71</f>
        <v>0</v>
      </c>
      <c r="AE22" s="64">
        <f>'Capital Results '!AF71</f>
        <v>0</v>
      </c>
      <c r="AF22" s="64">
        <f>'Capital Results '!AG71</f>
        <v>0</v>
      </c>
      <c r="AG22" s="64">
        <f>'Capital Results '!AH71</f>
        <v>0</v>
      </c>
      <c r="AH22" s="64">
        <f>'Capital Results '!AI71</f>
        <v>0</v>
      </c>
      <c r="AI22" s="64">
        <f>'Capital Results '!AJ71</f>
        <v>0</v>
      </c>
      <c r="AJ22" s="64">
        <f>'Capital Results '!AK71</f>
        <v>0</v>
      </c>
      <c r="AK22" s="64">
        <f>'Capital Results '!AL71</f>
        <v>0</v>
      </c>
      <c r="AL22" s="64">
        <f>'Capital Results '!AM71</f>
        <v>0</v>
      </c>
      <c r="AM22" s="64">
        <f>'Capital Results '!AN71</f>
        <v>0</v>
      </c>
      <c r="AN22" s="64">
        <f>'Capital Results '!AO71</f>
        <v>0</v>
      </c>
      <c r="AO22" s="64">
        <f>'Capital Results '!AP71</f>
        <v>0</v>
      </c>
      <c r="AP22" s="64">
        <f>'Capital Results '!AQ71</f>
        <v>0</v>
      </c>
      <c r="AQ22" s="64">
        <f>'Capital Results '!AR71</f>
        <v>0</v>
      </c>
      <c r="AR22" s="64">
        <f>'Capital Results '!AS71</f>
        <v>0</v>
      </c>
      <c r="AS22" s="64">
        <f>'Capital Results '!AT71</f>
        <v>0</v>
      </c>
      <c r="AT22" s="64">
        <f>'Capital Results '!AU71</f>
        <v>0</v>
      </c>
      <c r="AU22" s="64">
        <f>'Capital Results '!AV71</f>
        <v>0</v>
      </c>
      <c r="AV22" s="64">
        <f>'Capital Results '!AW71</f>
        <v>0</v>
      </c>
      <c r="AW22" s="64">
        <f>'Capital Results '!AX71</f>
        <v>0</v>
      </c>
      <c r="AX22" s="64">
        <f>'Capital Results '!AY71</f>
        <v>0</v>
      </c>
      <c r="AY22" s="64">
        <f>'Capital Results '!AZ71</f>
        <v>0</v>
      </c>
      <c r="AZ22" s="64">
        <f>'Capital Results '!BA71</f>
        <v>0</v>
      </c>
      <c r="BA22" s="64">
        <f>'Capital Results '!BB71</f>
        <v>0</v>
      </c>
      <c r="BB22" s="64">
        <f>'Capital Results '!BC71</f>
        <v>0</v>
      </c>
      <c r="BC22" s="64">
        <f>'Capital Results '!BD71</f>
        <v>0</v>
      </c>
    </row>
    <row r="23" spans="1:57" ht="10.5" customHeight="1">
      <c r="B23" s="66"/>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row>
    <row r="24" spans="1:57">
      <c r="B24" s="63" t="s">
        <v>70</v>
      </c>
      <c r="C24" s="64">
        <f t="shared" ref="C24:AO24" si="19">C30*Wieghted_Cost_of_Interest</f>
        <v>0</v>
      </c>
      <c r="D24" s="64">
        <f t="shared" si="19"/>
        <v>315982.7455553973</v>
      </c>
      <c r="E24" s="64">
        <f t="shared" si="19"/>
        <v>1116994.5556743366</v>
      </c>
      <c r="F24" s="64">
        <f t="shared" si="19"/>
        <v>2748265.550936183</v>
      </c>
      <c r="G24" s="353">
        <f>G30*Wieghted_Cost_of_Interest</f>
        <v>4719793.7292372063</v>
      </c>
      <c r="H24" s="64">
        <f t="shared" si="19"/>
        <v>6329502.0874853507</v>
      </c>
      <c r="I24" s="64">
        <f t="shared" si="19"/>
        <v>7858386.8500315705</v>
      </c>
      <c r="J24" s="64">
        <f t="shared" si="19"/>
        <v>9311648.0736221559</v>
      </c>
      <c r="K24" s="64">
        <f t="shared" si="19"/>
        <v>10510747.039526055</v>
      </c>
      <c r="L24" s="64">
        <f t="shared" si="19"/>
        <v>10487904.929959737</v>
      </c>
      <c r="M24" s="64">
        <f t="shared" si="19"/>
        <v>9502595.9804079235</v>
      </c>
      <c r="N24" s="64">
        <f t="shared" si="19"/>
        <v>8591149.9539965801</v>
      </c>
      <c r="O24" s="64">
        <f t="shared" si="19"/>
        <v>7740832.4219306232</v>
      </c>
      <c r="P24" s="64">
        <f t="shared" si="19"/>
        <v>6940282.7223792318</v>
      </c>
      <c r="Q24" s="64">
        <f t="shared" si="19"/>
        <v>6191054.6324658077</v>
      </c>
      <c r="R24" s="64">
        <f t="shared" si="19"/>
        <v>5496398.7952065188</v>
      </c>
      <c r="S24" s="64">
        <f t="shared" si="19"/>
        <v>4852004.6405388005</v>
      </c>
      <c r="T24" s="64">
        <f t="shared" si="19"/>
        <v>4259272.3722363543</v>
      </c>
      <c r="U24" s="64">
        <f t="shared" si="19"/>
        <v>3717423.8746286756</v>
      </c>
      <c r="V24" s="64">
        <f t="shared" si="19"/>
        <v>3211834.2819884582</v>
      </c>
      <c r="W24" s="64">
        <f t="shared" si="19"/>
        <v>2718003.8861365938</v>
      </c>
      <c r="X24" s="64">
        <f t="shared" si="19"/>
        <v>2224572.1827216367</v>
      </c>
      <c r="Y24" s="64">
        <f t="shared" si="19"/>
        <v>1742169.6511909175</v>
      </c>
      <c r="Z24" s="64">
        <f t="shared" si="19"/>
        <v>1288092.1881776217</v>
      </c>
      <c r="AA24" s="64">
        <f t="shared" si="19"/>
        <v>892741.3309004982</v>
      </c>
      <c r="AB24" s="64">
        <f t="shared" si="19"/>
        <v>572802.11118531576</v>
      </c>
      <c r="AC24" s="64">
        <f t="shared" si="19"/>
        <v>322404.68572766142</v>
      </c>
      <c r="AD24" s="64">
        <f t="shared" si="19"/>
        <v>143806.70741731508</v>
      </c>
      <c r="AE24" s="64">
        <f t="shared" si="19"/>
        <v>39162.159668695043</v>
      </c>
      <c r="AF24" s="64">
        <f t="shared" si="19"/>
        <v>4460.5971844499372</v>
      </c>
      <c r="AG24" s="64">
        <f t="shared" si="19"/>
        <v>2495.327233247302</v>
      </c>
      <c r="AH24" s="64">
        <f t="shared" si="19"/>
        <v>1116.6839403252839</v>
      </c>
      <c r="AI24" s="64">
        <f t="shared" si="19"/>
        <v>281.21869401866701</v>
      </c>
      <c r="AJ24" s="64">
        <f t="shared" si="19"/>
        <v>1.2638940461329186E-9</v>
      </c>
      <c r="AK24" s="64">
        <f t="shared" si="19"/>
        <v>1.2638940461329186E-9</v>
      </c>
      <c r="AL24" s="64">
        <f t="shared" si="19"/>
        <v>1.2638940461329186E-9</v>
      </c>
      <c r="AM24" s="64">
        <f t="shared" si="19"/>
        <v>1.2638940461329186E-9</v>
      </c>
      <c r="AN24" s="64">
        <f t="shared" si="19"/>
        <v>1.2638940461329186E-9</v>
      </c>
      <c r="AO24" s="64">
        <f t="shared" si="19"/>
        <v>1.2638940461329186E-9</v>
      </c>
      <c r="AP24" s="64">
        <f t="shared" ref="AP24:BC24" si="20">AP30*Wieghted_Cost_of_Interest</f>
        <v>1.2638940461329186E-9</v>
      </c>
      <c r="AQ24" s="64">
        <f t="shared" si="20"/>
        <v>1.2638940461329186E-9</v>
      </c>
      <c r="AR24" s="64">
        <f t="shared" si="20"/>
        <v>1.2638940461329186E-9</v>
      </c>
      <c r="AS24" s="64">
        <f t="shared" si="20"/>
        <v>1.2638940461329186E-9</v>
      </c>
      <c r="AT24" s="64">
        <f t="shared" si="20"/>
        <v>1.2638940461329186E-9</v>
      </c>
      <c r="AU24" s="64">
        <f t="shared" si="20"/>
        <v>1.2638940461329186E-9</v>
      </c>
      <c r="AV24" s="64">
        <f t="shared" si="20"/>
        <v>1.2638940461329186E-9</v>
      </c>
      <c r="AW24" s="64">
        <f t="shared" si="20"/>
        <v>1.2638940461329186E-9</v>
      </c>
      <c r="AX24" s="64">
        <f t="shared" si="20"/>
        <v>1.2638940461329186E-9</v>
      </c>
      <c r="AY24" s="64">
        <f t="shared" si="20"/>
        <v>1.2638940461329186E-9</v>
      </c>
      <c r="AZ24" s="64">
        <f t="shared" si="20"/>
        <v>1.2638940461329186E-9</v>
      </c>
      <c r="BA24" s="64">
        <f t="shared" si="20"/>
        <v>1.2638940461329186E-9</v>
      </c>
      <c r="BB24" s="64">
        <f t="shared" si="20"/>
        <v>1.2638940461329186E-9</v>
      </c>
      <c r="BC24" s="64">
        <f t="shared" si="20"/>
        <v>1.2638940461329186E-9</v>
      </c>
    </row>
    <row r="25" spans="1:57" ht="10.5" customHeight="1">
      <c r="B25" s="66"/>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row>
    <row r="26" spans="1:57">
      <c r="B26" s="63" t="s">
        <v>71</v>
      </c>
      <c r="C26" s="64">
        <v>0</v>
      </c>
      <c r="D26" s="64">
        <v>0</v>
      </c>
      <c r="E26" s="64">
        <v>0</v>
      </c>
      <c r="F26" s="64">
        <v>0</v>
      </c>
      <c r="G26" s="64">
        <v>0</v>
      </c>
      <c r="H26" s="64">
        <v>0</v>
      </c>
      <c r="I26" s="64">
        <v>0</v>
      </c>
      <c r="J26" s="64">
        <v>0</v>
      </c>
      <c r="K26" s="64">
        <v>0</v>
      </c>
      <c r="L26" s="64">
        <v>0</v>
      </c>
      <c r="M26" s="64">
        <v>0</v>
      </c>
      <c r="N26" s="64">
        <v>0</v>
      </c>
      <c r="O26" s="64">
        <v>0</v>
      </c>
      <c r="P26" s="64">
        <v>0</v>
      </c>
      <c r="Q26" s="64">
        <v>0</v>
      </c>
      <c r="R26" s="64">
        <v>0</v>
      </c>
      <c r="S26" s="64">
        <v>0</v>
      </c>
      <c r="T26" s="64">
        <v>0</v>
      </c>
      <c r="U26" s="64">
        <v>0</v>
      </c>
      <c r="V26" s="64">
        <v>0</v>
      </c>
      <c r="W26" s="64">
        <v>0</v>
      </c>
      <c r="X26" s="64">
        <v>0</v>
      </c>
      <c r="Y26" s="64">
        <v>0</v>
      </c>
      <c r="Z26" s="64">
        <v>0</v>
      </c>
      <c r="AA26" s="64">
        <v>0</v>
      </c>
      <c r="AB26" s="64">
        <v>0</v>
      </c>
      <c r="AC26" s="64">
        <v>0</v>
      </c>
      <c r="AD26" s="64">
        <v>0</v>
      </c>
      <c r="AE26" s="64">
        <v>0</v>
      </c>
      <c r="AF26" s="64">
        <v>0</v>
      </c>
      <c r="AG26" s="64">
        <v>0</v>
      </c>
      <c r="AH26" s="64">
        <v>0</v>
      </c>
      <c r="AI26" s="64">
        <v>0</v>
      </c>
      <c r="AJ26" s="64">
        <v>0</v>
      </c>
      <c r="AK26" s="64">
        <v>0</v>
      </c>
      <c r="AL26" s="64">
        <v>0</v>
      </c>
      <c r="AM26" s="64">
        <v>0</v>
      </c>
      <c r="AN26" s="64">
        <v>0</v>
      </c>
      <c r="AO26" s="64">
        <v>0</v>
      </c>
      <c r="AP26" s="64">
        <v>0</v>
      </c>
      <c r="AQ26" s="64">
        <v>0</v>
      </c>
      <c r="AR26" s="64">
        <v>0</v>
      </c>
      <c r="AS26" s="64">
        <v>0</v>
      </c>
      <c r="AT26" s="64">
        <v>0</v>
      </c>
      <c r="AU26" s="64">
        <v>0</v>
      </c>
      <c r="AV26" s="64">
        <v>0</v>
      </c>
      <c r="AW26" s="64">
        <v>0</v>
      </c>
      <c r="AX26" s="64">
        <v>0</v>
      </c>
      <c r="AY26" s="64">
        <v>0</v>
      </c>
      <c r="AZ26" s="64">
        <v>0</v>
      </c>
      <c r="BA26" s="64">
        <v>0</v>
      </c>
      <c r="BB26" s="64">
        <v>0</v>
      </c>
      <c r="BC26" s="64">
        <v>0</v>
      </c>
    </row>
    <row r="27" spans="1:57" ht="10.5" customHeight="1">
      <c r="B27" s="66"/>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row>
    <row r="28" spans="1:57">
      <c r="B28" s="219" t="s">
        <v>72</v>
      </c>
      <c r="C28" s="220">
        <f>C20+C22-C24-C26</f>
        <v>768990.21816739161</v>
      </c>
      <c r="D28" s="220">
        <f t="shared" ref="D28:AO28" si="21">D20+D22-D24-D26</f>
        <v>2509243.893048251</v>
      </c>
      <c r="E28" s="220">
        <f t="shared" si="21"/>
        <v>5946540.3534897985</v>
      </c>
      <c r="F28" s="220">
        <f t="shared" si="21"/>
        <v>9656820.0160329957</v>
      </c>
      <c r="G28" s="220">
        <f>G20+G22-G24-G26</f>
        <v>12251026.464522101</v>
      </c>
      <c r="H28" s="220">
        <f t="shared" si="21"/>
        <v>14878592.548418596</v>
      </c>
      <c r="I28" s="220">
        <f t="shared" si="21"/>
        <v>17374928.334513433</v>
      </c>
      <c r="J28" s="220">
        <f t="shared" si="21"/>
        <v>19310041.057446938</v>
      </c>
      <c r="K28" s="220">
        <f t="shared" si="21"/>
        <v>18457257.306651391</v>
      </c>
      <c r="L28" s="220">
        <f t="shared" si="21"/>
        <v>16099133.288183622</v>
      </c>
      <c r="M28" s="220">
        <f t="shared" si="21"/>
        <v>14587508.131183811</v>
      </c>
      <c r="N28" s="220">
        <f t="shared" si="21"/>
        <v>13192904.863464441</v>
      </c>
      <c r="O28" s="220">
        <f t="shared" si="21"/>
        <v>11871358.960806139</v>
      </c>
      <c r="P28" s="220">
        <f t="shared" si="21"/>
        <v>10625414.600473819</v>
      </c>
      <c r="Q28" s="220">
        <f t="shared" si="21"/>
        <v>9478363.478193013</v>
      </c>
      <c r="R28" s="220">
        <f t="shared" si="21"/>
        <v>8414861.2304072138</v>
      </c>
      <c r="S28" s="220">
        <f t="shared" si="21"/>
        <v>7428308.4726372696</v>
      </c>
      <c r="T28" s="220">
        <f t="shared" si="21"/>
        <v>6520848.8849342298</v>
      </c>
      <c r="U28" s="220">
        <f t="shared" si="21"/>
        <v>5691291.1899486128</v>
      </c>
      <c r="V28" s="220">
        <f t="shared" si="21"/>
        <v>4917245.0517178942</v>
      </c>
      <c r="W28" s="220">
        <f t="shared" si="21"/>
        <v>4161201.9756451487</v>
      </c>
      <c r="X28" s="220">
        <f t="shared" si="21"/>
        <v>3405769.2886025948</v>
      </c>
      <c r="Y28" s="220">
        <f t="shared" si="21"/>
        <v>2667222.0122353216</v>
      </c>
      <c r="Z28" s="220">
        <f t="shared" si="21"/>
        <v>1972039.7699197542</v>
      </c>
      <c r="AA28" s="220">
        <f t="shared" si="21"/>
        <v>1366766.6219431381</v>
      </c>
      <c r="AB28" s="220">
        <f t="shared" si="21"/>
        <v>876946.97159026214</v>
      </c>
      <c r="AC28" s="220">
        <f t="shared" si="21"/>
        <v>493594.22260214394</v>
      </c>
      <c r="AD28" s="220">
        <f t="shared" si="21"/>
        <v>220164.79007561019</v>
      </c>
      <c r="AE28" s="220">
        <f t="shared" si="21"/>
        <v>59956.373504506562</v>
      </c>
      <c r="AF28" s="220">
        <f t="shared" si="21"/>
        <v>6829.0725819651916</v>
      </c>
      <c r="AG28" s="220">
        <f t="shared" si="21"/>
        <v>3820.289097389465</v>
      </c>
      <c r="AH28" s="220">
        <f t="shared" si="21"/>
        <v>1709.6176507892064</v>
      </c>
      <c r="AI28" s="220">
        <f t="shared" si="21"/>
        <v>430.53940838994328</v>
      </c>
      <c r="AJ28" s="220">
        <f t="shared" si="21"/>
        <v>1.9349929661984793E-9</v>
      </c>
      <c r="AK28" s="220">
        <f t="shared" si="21"/>
        <v>1.9349929661984793E-9</v>
      </c>
      <c r="AL28" s="220">
        <f t="shared" si="21"/>
        <v>1.9349929661984793E-9</v>
      </c>
      <c r="AM28" s="220">
        <f t="shared" si="21"/>
        <v>1.9349929661984793E-9</v>
      </c>
      <c r="AN28" s="220">
        <f t="shared" si="21"/>
        <v>1.9349929661984793E-9</v>
      </c>
      <c r="AO28" s="220">
        <f t="shared" si="21"/>
        <v>1.9349929661984793E-9</v>
      </c>
      <c r="AP28" s="220">
        <f t="shared" ref="AP28:BC28" si="22">AP20+AP22-AP24-AP26</f>
        <v>1.9349929661984793E-9</v>
      </c>
      <c r="AQ28" s="220">
        <f t="shared" si="22"/>
        <v>1.9349929661984793E-9</v>
      </c>
      <c r="AR28" s="220">
        <f t="shared" si="22"/>
        <v>1.9349929661984793E-9</v>
      </c>
      <c r="AS28" s="220">
        <f t="shared" si="22"/>
        <v>1.9349929661984793E-9</v>
      </c>
      <c r="AT28" s="220">
        <f t="shared" si="22"/>
        <v>1.9349929661984793E-9</v>
      </c>
      <c r="AU28" s="220">
        <f t="shared" si="22"/>
        <v>1.9349929661984793E-9</v>
      </c>
      <c r="AV28" s="220">
        <f t="shared" si="22"/>
        <v>1.9349929661984793E-9</v>
      </c>
      <c r="AW28" s="220">
        <f t="shared" si="22"/>
        <v>1.9349929661984793E-9</v>
      </c>
      <c r="AX28" s="220">
        <f t="shared" si="22"/>
        <v>1.9349929661984793E-9</v>
      </c>
      <c r="AY28" s="220">
        <f t="shared" si="22"/>
        <v>1.9349929661984793E-9</v>
      </c>
      <c r="AZ28" s="220">
        <f t="shared" si="22"/>
        <v>1.9349929661984793E-9</v>
      </c>
      <c r="BA28" s="220">
        <f t="shared" si="22"/>
        <v>1.9349929661984793E-9</v>
      </c>
      <c r="BB28" s="220">
        <f t="shared" si="22"/>
        <v>1.9349929661984793E-9</v>
      </c>
      <c r="BC28" s="220">
        <f t="shared" si="22"/>
        <v>1.9349929661984793E-9</v>
      </c>
    </row>
    <row r="29" spans="1:57" ht="10.5" customHeight="1">
      <c r="B29" s="66"/>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row>
    <row r="30" spans="1:57">
      <c r="B30" s="63" t="str">
        <f xml:space="preserve"> Rate_Base_Used&amp; " Ratebase"</f>
        <v>Average Ratebase</v>
      </c>
      <c r="C30" s="64">
        <f>'Revenue Requirement'!C7*'Project Assumptions'!I1</f>
        <v>0</v>
      </c>
      <c r="D30" s="64">
        <f>'Revenue Requirement'!D7*'Project Assumptions'!J1</f>
        <v>10292597.575094374</v>
      </c>
      <c r="E30" s="64">
        <f>'Revenue Requirement'!E7*'Project Assumptions'!K1</f>
        <v>36384187.481248751</v>
      </c>
      <c r="F30" s="64">
        <f>'Revenue Requirement'!F7*'Project Assumptions'!L1</f>
        <v>89520050.519093901</v>
      </c>
      <c r="G30" s="64">
        <f>'Revenue Requirement'!G7*'Project Assumptions'!M1</f>
        <v>153739209.42140737</v>
      </c>
      <c r="H30" s="64">
        <f>'Revenue Requirement'!H7*'Project Assumptions'!N1</f>
        <v>206172706.43274757</v>
      </c>
      <c r="I30" s="64">
        <f>'Revenue Requirement'!I7*'Project Assumptions'!O1</f>
        <v>255973513.03034431</v>
      </c>
      <c r="J30" s="64">
        <f>'Revenue Requirement'!J7*'Project Assumptions'!P1</f>
        <v>303311012.17010278</v>
      </c>
      <c r="K30" s="64">
        <f>'Revenue Requirement'!K7*'Project Assumptions'!Q1</f>
        <v>342369610.40801477</v>
      </c>
      <c r="L30" s="64">
        <f>'Revenue Requirement'!L7*'Project Assumptions'!R1</f>
        <v>341625567.75113147</v>
      </c>
      <c r="M30" s="64">
        <f>'Revenue Requirement'!M7*'Project Assumptions'!S1</f>
        <v>309530813.69406915</v>
      </c>
      <c r="N30" s="64">
        <f>'Revenue Requirement'!N7*'Project Assumptions'!T1</f>
        <v>279842018.04549122</v>
      </c>
      <c r="O30" s="64">
        <f>'Revenue Requirement'!O7*'Project Assumptions'!U1</f>
        <v>252144378.56451541</v>
      </c>
      <c r="P30" s="64">
        <f>'Revenue Requirement'!P7*'Project Assumptions'!V1</f>
        <v>226067841.11984468</v>
      </c>
      <c r="Q30" s="64">
        <f>'Revenue Requirement'!Q7*'Project Assumptions'!W1</f>
        <v>201663017.34416312</v>
      </c>
      <c r="R30" s="64">
        <f>'Revenue Requirement'!R7*'Project Assumptions'!X1</f>
        <v>179035791.37480515</v>
      </c>
      <c r="S30" s="64">
        <f>'Revenue Requirement'!S7*'Project Assumptions'!Y1</f>
        <v>158045753.76347885</v>
      </c>
      <c r="T30" s="64">
        <f>'Revenue Requirement'!T7*'Project Assumptions'!Z1</f>
        <v>138738513.75362718</v>
      </c>
      <c r="U30" s="64">
        <f>'Revenue Requirement'!U7*'Project Assumptions'!AA1</f>
        <v>121088725.55793731</v>
      </c>
      <c r="V30" s="64">
        <f>'Revenue Requirement'!V7*'Project Assumptions'!AB1</f>
        <v>104620009.1852918</v>
      </c>
      <c r="W30" s="64">
        <f>'Revenue Requirement'!W7*'Project Assumptions'!AC1</f>
        <v>88534328.538651258</v>
      </c>
      <c r="X30" s="64">
        <f>'Revenue Requirement'!X7*'Project Assumptions'!AD1</f>
        <v>72461634.616339952</v>
      </c>
      <c r="Y30" s="64">
        <f>'Revenue Requirement'!Y7*'Project Assumptions'!AE1</f>
        <v>56748197.107196003</v>
      </c>
      <c r="Z30" s="64">
        <f>'Revenue Requirement'!Z7*'Project Assumptions'!AF1</f>
        <v>41957400.26637204</v>
      </c>
      <c r="AA30" s="64">
        <f>'Revenue Requirement'!AA7*'Project Assumptions'!AG1</f>
        <v>29079522.17916932</v>
      </c>
      <c r="AB30" s="64">
        <f>'Revenue Requirement'!AB7*'Project Assumptions'!AH1</f>
        <v>18658049.224277385</v>
      </c>
      <c r="AC30" s="64">
        <f>'Revenue Requirement'!AC7*'Project Assumptions'!AI1</f>
        <v>10501781.294060633</v>
      </c>
      <c r="AD30" s="64">
        <f>'Revenue Requirement'!AD7*'Project Assumptions'!AJ1</f>
        <v>4684257.5705965823</v>
      </c>
      <c r="AE30" s="64">
        <f>'Revenue Requirement'!AE7*'Project Assumptions'!AK1</f>
        <v>1275640.3800877864</v>
      </c>
      <c r="AF30" s="64">
        <f>'Revenue Requirement'!AF7*'Project Assumptions'!AL1</f>
        <v>145296.32522638232</v>
      </c>
      <c r="AG30" s="64">
        <f>'Revenue Requirement'!AG7*'Project Assumptions'!AM1</f>
        <v>81281.017369618959</v>
      </c>
      <c r="AH30" s="64">
        <f>'Revenue Requirement'!AH7*'Project Assumptions'!AN1</f>
        <v>36374.069717435952</v>
      </c>
      <c r="AI30" s="64">
        <f>'Revenue Requirement'!AI7*'Project Assumptions'!AO1</f>
        <v>9160.2180462106517</v>
      </c>
      <c r="AJ30" s="64">
        <f>'Revenue Requirement'!AJ7*'Project Assumptions'!AP1</f>
        <v>4.116918717045337E-8</v>
      </c>
      <c r="AK30" s="64">
        <f>'Revenue Requirement'!AK7*'Project Assumptions'!AQ1</f>
        <v>4.116918717045337E-8</v>
      </c>
      <c r="AL30" s="64">
        <f>'Revenue Requirement'!AL7*'Project Assumptions'!AR1</f>
        <v>4.116918717045337E-8</v>
      </c>
      <c r="AM30" s="64">
        <f>'Revenue Requirement'!AM7*'Project Assumptions'!AS1</f>
        <v>4.116918717045337E-8</v>
      </c>
      <c r="AN30" s="64">
        <f>'Revenue Requirement'!AN7*'Project Assumptions'!AT1</f>
        <v>4.116918717045337E-8</v>
      </c>
      <c r="AO30" s="64">
        <f>'Revenue Requirement'!AO7*'Project Assumptions'!AU1</f>
        <v>4.116918717045337E-8</v>
      </c>
      <c r="AP30" s="64">
        <f>'Revenue Requirement'!AP7*'Project Assumptions'!AV1</f>
        <v>4.116918717045337E-8</v>
      </c>
      <c r="AQ30" s="64">
        <f>'Revenue Requirement'!AQ7*'Project Assumptions'!AW1</f>
        <v>4.116918717045337E-8</v>
      </c>
      <c r="AR30" s="64">
        <f>'Revenue Requirement'!AR7*'Project Assumptions'!AX1</f>
        <v>4.116918717045337E-8</v>
      </c>
      <c r="AS30" s="64">
        <f>'Revenue Requirement'!AS7*'Project Assumptions'!AY1</f>
        <v>4.116918717045337E-8</v>
      </c>
      <c r="AT30" s="64">
        <f>'Revenue Requirement'!AT7*'Project Assumptions'!AZ1</f>
        <v>4.116918717045337E-8</v>
      </c>
      <c r="AU30" s="64">
        <f>'Revenue Requirement'!AU7*'Project Assumptions'!BA1</f>
        <v>4.116918717045337E-8</v>
      </c>
      <c r="AV30" s="64">
        <f>'Revenue Requirement'!AV7*'Project Assumptions'!BB1</f>
        <v>4.116918717045337E-8</v>
      </c>
      <c r="AW30" s="64">
        <f>'Revenue Requirement'!AW7*'Project Assumptions'!BC1</f>
        <v>4.116918717045337E-8</v>
      </c>
      <c r="AX30" s="64">
        <f>'Revenue Requirement'!AX7*'Project Assumptions'!BD1</f>
        <v>4.116918717045337E-8</v>
      </c>
      <c r="AY30" s="64">
        <f>'Revenue Requirement'!AY7*'Project Assumptions'!BE1</f>
        <v>4.116918717045337E-8</v>
      </c>
      <c r="AZ30" s="64">
        <f>'Revenue Requirement'!AZ7*'Project Assumptions'!BF1</f>
        <v>4.116918717045337E-8</v>
      </c>
      <c r="BA30" s="64">
        <f>'Revenue Requirement'!BA7*'Project Assumptions'!BG1</f>
        <v>4.116918717045337E-8</v>
      </c>
      <c r="BB30" s="64">
        <f>'Revenue Requirement'!BB7*'Project Assumptions'!BH1</f>
        <v>4.116918717045337E-8</v>
      </c>
      <c r="BC30" s="64">
        <f>'Revenue Requirement'!BC7*'Project Assumptions'!BI1</f>
        <v>4.116918717045337E-8</v>
      </c>
    </row>
    <row r="32" spans="1:57" s="270" customFormat="1">
      <c r="A32" s="231"/>
      <c r="B32" s="270" t="s">
        <v>214</v>
      </c>
      <c r="C32" s="271">
        <f t="shared" ref="C32:AO32" si="23">IFERROR(C20/C30,0)</f>
        <v>0</v>
      </c>
      <c r="D32" s="271">
        <f>IFERROR(D20/D30,0)</f>
        <v>7.7700999999999978E-2</v>
      </c>
      <c r="E32" s="271">
        <f t="shared" si="23"/>
        <v>7.7700999999999978E-2</v>
      </c>
      <c r="F32" s="271">
        <f t="shared" si="23"/>
        <v>7.770100000000002E-2</v>
      </c>
      <c r="G32" s="271">
        <f t="shared" si="23"/>
        <v>7.770100000000002E-2</v>
      </c>
      <c r="H32" s="271">
        <f t="shared" si="23"/>
        <v>7.7701000000000006E-2</v>
      </c>
      <c r="I32" s="271">
        <f t="shared" si="23"/>
        <v>7.7701000000000006E-2</v>
      </c>
      <c r="J32" s="271">
        <f t="shared" si="23"/>
        <v>7.7701000000000006E-2</v>
      </c>
      <c r="K32" s="271">
        <f t="shared" si="23"/>
        <v>7.7701000000000006E-2</v>
      </c>
      <c r="L32" s="271">
        <f t="shared" si="23"/>
        <v>7.7701000000000006E-2</v>
      </c>
      <c r="M32" s="271">
        <f t="shared" si="23"/>
        <v>7.7700999999999992E-2</v>
      </c>
      <c r="N32" s="271">
        <f t="shared" si="23"/>
        <v>7.7700999999999992E-2</v>
      </c>
      <c r="O32" s="271">
        <f t="shared" si="23"/>
        <v>7.7700999999999992E-2</v>
      </c>
      <c r="P32" s="271">
        <f t="shared" si="23"/>
        <v>7.7701000000000006E-2</v>
      </c>
      <c r="Q32" s="271">
        <f t="shared" si="23"/>
        <v>7.7701000000000006E-2</v>
      </c>
      <c r="R32" s="271">
        <f t="shared" si="23"/>
        <v>7.7700999999999992E-2</v>
      </c>
      <c r="S32" s="271">
        <f t="shared" si="23"/>
        <v>7.7701000000000006E-2</v>
      </c>
      <c r="T32" s="271">
        <f t="shared" si="23"/>
        <v>7.7700999999999992E-2</v>
      </c>
      <c r="U32" s="271">
        <f t="shared" si="23"/>
        <v>7.770100000000002E-2</v>
      </c>
      <c r="V32" s="271">
        <f t="shared" si="23"/>
        <v>7.7700999999999951E-2</v>
      </c>
      <c r="W32" s="271">
        <f t="shared" si="23"/>
        <v>7.7701000000000006E-2</v>
      </c>
      <c r="X32" s="271">
        <f t="shared" si="23"/>
        <v>7.7701000000000006E-2</v>
      </c>
      <c r="Y32" s="271">
        <f t="shared" si="23"/>
        <v>7.7701000000000048E-2</v>
      </c>
      <c r="Z32" s="271">
        <f t="shared" si="23"/>
        <v>7.7701000000000048E-2</v>
      </c>
      <c r="AA32" s="271">
        <f t="shared" si="23"/>
        <v>7.7701000000000034E-2</v>
      </c>
      <c r="AB32" s="271">
        <f t="shared" si="23"/>
        <v>7.7701000000000048E-2</v>
      </c>
      <c r="AC32" s="271">
        <f t="shared" si="23"/>
        <v>7.770100000000002E-2</v>
      </c>
      <c r="AD32" s="271">
        <f t="shared" si="23"/>
        <v>7.7701000000000048E-2</v>
      </c>
      <c r="AE32" s="271">
        <f t="shared" si="23"/>
        <v>7.7701000000000409E-2</v>
      </c>
      <c r="AF32" s="271">
        <f t="shared" si="23"/>
        <v>7.7700999999999978E-2</v>
      </c>
      <c r="AG32" s="271">
        <f t="shared" si="23"/>
        <v>7.7701000000000048E-2</v>
      </c>
      <c r="AH32" s="271">
        <f t="shared" si="23"/>
        <v>7.7700999999999978E-2</v>
      </c>
      <c r="AI32" s="271">
        <f t="shared" si="23"/>
        <v>7.7700999999999618E-2</v>
      </c>
      <c r="AJ32" s="271">
        <f t="shared" si="23"/>
        <v>7.770100000000002E-2</v>
      </c>
      <c r="AK32" s="271">
        <f t="shared" si="23"/>
        <v>7.770100000000002E-2</v>
      </c>
      <c r="AL32" s="271">
        <f t="shared" si="23"/>
        <v>7.770100000000002E-2</v>
      </c>
      <c r="AM32" s="271">
        <f t="shared" si="23"/>
        <v>7.770100000000002E-2</v>
      </c>
      <c r="AN32" s="271">
        <f t="shared" si="23"/>
        <v>7.770100000000002E-2</v>
      </c>
      <c r="AO32" s="271">
        <f t="shared" si="23"/>
        <v>7.770100000000002E-2</v>
      </c>
      <c r="AP32" s="271">
        <f t="shared" ref="AP32:BC32" si="24">IFERROR(AP20/AP30,0)</f>
        <v>7.770100000000002E-2</v>
      </c>
      <c r="AQ32" s="271">
        <f t="shared" si="24"/>
        <v>7.770100000000002E-2</v>
      </c>
      <c r="AR32" s="271">
        <f t="shared" si="24"/>
        <v>7.770100000000002E-2</v>
      </c>
      <c r="AS32" s="271">
        <f t="shared" si="24"/>
        <v>7.770100000000002E-2</v>
      </c>
      <c r="AT32" s="271">
        <f t="shared" si="24"/>
        <v>7.770100000000002E-2</v>
      </c>
      <c r="AU32" s="271">
        <f t="shared" si="24"/>
        <v>7.770100000000002E-2</v>
      </c>
      <c r="AV32" s="271">
        <f t="shared" si="24"/>
        <v>7.770100000000002E-2</v>
      </c>
      <c r="AW32" s="271">
        <f t="shared" si="24"/>
        <v>7.770100000000002E-2</v>
      </c>
      <c r="AX32" s="271">
        <f t="shared" si="24"/>
        <v>7.770100000000002E-2</v>
      </c>
      <c r="AY32" s="271">
        <f t="shared" si="24"/>
        <v>7.770100000000002E-2</v>
      </c>
      <c r="AZ32" s="271">
        <f t="shared" si="24"/>
        <v>7.770100000000002E-2</v>
      </c>
      <c r="BA32" s="271">
        <f t="shared" si="24"/>
        <v>7.770100000000002E-2</v>
      </c>
      <c r="BB32" s="271">
        <f t="shared" si="24"/>
        <v>7.770100000000002E-2</v>
      </c>
      <c r="BC32" s="271">
        <f t="shared" si="24"/>
        <v>7.770100000000002E-2</v>
      </c>
      <c r="BD32" s="272"/>
      <c r="BE32" s="272"/>
    </row>
    <row r="34" spans="1:57">
      <c r="B34" s="53" t="s">
        <v>208</v>
      </c>
    </row>
    <row r="35" spans="1:57">
      <c r="B35" s="48" t="s">
        <v>69</v>
      </c>
      <c r="C35" s="47">
        <f>C20</f>
        <v>0</v>
      </c>
      <c r="D35" s="47">
        <f t="shared" ref="D35:H35" si="25">D20</f>
        <v>799745.12418240774</v>
      </c>
      <c r="E35" s="47">
        <f t="shared" si="25"/>
        <v>2827087.7514805086</v>
      </c>
      <c r="F35" s="47">
        <f t="shared" si="25"/>
        <v>6955797.4453841168</v>
      </c>
      <c r="G35" s="47">
        <f t="shared" si="25"/>
        <v>11945690.311252777</v>
      </c>
      <c r="H35" s="47">
        <f t="shared" si="25"/>
        <v>16019825.46253092</v>
      </c>
      <c r="I35" s="47">
        <f t="shared" ref="I35:AO35" si="26">I20</f>
        <v>19889397.935970783</v>
      </c>
      <c r="J35" s="47">
        <f t="shared" si="26"/>
        <v>23567568.956629157</v>
      </c>
      <c r="K35" s="47">
        <f t="shared" si="26"/>
        <v>26602461.09831316</v>
      </c>
      <c r="L35" s="47">
        <f t="shared" si="26"/>
        <v>26544648.239830669</v>
      </c>
      <c r="M35" s="47">
        <f t="shared" si="26"/>
        <v>24050853.754842866</v>
      </c>
      <c r="N35" s="47">
        <f t="shared" si="26"/>
        <v>21744004.644152712</v>
      </c>
      <c r="O35" s="47">
        <f t="shared" si="26"/>
        <v>19591870.358841412</v>
      </c>
      <c r="P35" s="47">
        <f t="shared" si="26"/>
        <v>17565697.322853051</v>
      </c>
      <c r="Q35" s="47">
        <f t="shared" si="26"/>
        <v>15669418.110658821</v>
      </c>
      <c r="R35" s="47">
        <f t="shared" si="26"/>
        <v>13911260.025613733</v>
      </c>
      <c r="S35" s="47">
        <f t="shared" si="26"/>
        <v>12280313.11317607</v>
      </c>
      <c r="T35" s="47">
        <f t="shared" si="26"/>
        <v>10780121.257170584</v>
      </c>
      <c r="U35" s="47">
        <f t="shared" si="26"/>
        <v>9408715.0645772889</v>
      </c>
      <c r="V35" s="47">
        <f t="shared" si="26"/>
        <v>8129079.3337063529</v>
      </c>
      <c r="W35" s="47">
        <f t="shared" si="26"/>
        <v>6879205.8617817424</v>
      </c>
      <c r="X35" s="47">
        <f t="shared" si="26"/>
        <v>5630341.4713242315</v>
      </c>
      <c r="Y35" s="47">
        <f t="shared" si="26"/>
        <v>4409391.663426239</v>
      </c>
      <c r="Z35" s="47">
        <f t="shared" si="26"/>
        <v>3260131.9580973759</v>
      </c>
      <c r="AA35" s="47">
        <f t="shared" si="26"/>
        <v>2259507.9528436363</v>
      </c>
      <c r="AB35" s="47">
        <f t="shared" si="26"/>
        <v>1449749.0827755779</v>
      </c>
      <c r="AC35" s="47">
        <f t="shared" si="26"/>
        <v>815998.90832980536</v>
      </c>
      <c r="AD35" s="47">
        <f t="shared" si="26"/>
        <v>363971.49749292526</v>
      </c>
      <c r="AE35" s="47">
        <f t="shared" si="26"/>
        <v>99118.533173201606</v>
      </c>
      <c r="AF35" s="47">
        <f t="shared" si="26"/>
        <v>11289.669766415129</v>
      </c>
      <c r="AG35" s="47">
        <f t="shared" si="26"/>
        <v>6315.6163306367671</v>
      </c>
      <c r="AH35" s="47">
        <f t="shared" si="26"/>
        <v>2826.3015911144903</v>
      </c>
      <c r="AI35" s="47">
        <f t="shared" si="26"/>
        <v>711.75810240861028</v>
      </c>
      <c r="AJ35" s="47">
        <f t="shared" si="26"/>
        <v>3.1988870123313978E-9</v>
      </c>
      <c r="AK35" s="47">
        <f t="shared" si="26"/>
        <v>3.1988870123313978E-9</v>
      </c>
      <c r="AL35" s="47">
        <f t="shared" si="26"/>
        <v>3.1988870123313978E-9</v>
      </c>
      <c r="AM35" s="47">
        <f t="shared" si="26"/>
        <v>3.1988870123313978E-9</v>
      </c>
      <c r="AN35" s="47">
        <f t="shared" si="26"/>
        <v>3.1988870123313978E-9</v>
      </c>
      <c r="AO35" s="47">
        <f t="shared" si="26"/>
        <v>3.1988870123313978E-9</v>
      </c>
      <c r="AP35" s="47">
        <f t="shared" ref="AP35:BC35" si="27">AP20</f>
        <v>3.1988870123313978E-9</v>
      </c>
      <c r="AQ35" s="47">
        <f t="shared" si="27"/>
        <v>3.1988870123313978E-9</v>
      </c>
      <c r="AR35" s="47">
        <f t="shared" si="27"/>
        <v>3.1988870123313978E-9</v>
      </c>
      <c r="AS35" s="47">
        <f t="shared" si="27"/>
        <v>3.1988870123313978E-9</v>
      </c>
      <c r="AT35" s="47">
        <f t="shared" si="27"/>
        <v>3.1988870123313978E-9</v>
      </c>
      <c r="AU35" s="47">
        <f t="shared" si="27"/>
        <v>3.1988870123313978E-9</v>
      </c>
      <c r="AV35" s="47">
        <f t="shared" si="27"/>
        <v>3.1988870123313978E-9</v>
      </c>
      <c r="AW35" s="47">
        <f t="shared" si="27"/>
        <v>3.1988870123313978E-9</v>
      </c>
      <c r="AX35" s="47">
        <f t="shared" si="27"/>
        <v>3.1988870123313978E-9</v>
      </c>
      <c r="AY35" s="47">
        <f t="shared" si="27"/>
        <v>3.1988870123313978E-9</v>
      </c>
      <c r="AZ35" s="47">
        <f t="shared" si="27"/>
        <v>3.1988870123313978E-9</v>
      </c>
      <c r="BA35" s="47">
        <f t="shared" si="27"/>
        <v>3.1988870123313978E-9</v>
      </c>
      <c r="BB35" s="47">
        <f t="shared" si="27"/>
        <v>3.1988870123313978E-9</v>
      </c>
      <c r="BC35" s="47">
        <f t="shared" si="27"/>
        <v>3.1988870123313978E-9</v>
      </c>
    </row>
    <row r="36" spans="1:57">
      <c r="B36" s="48" t="s">
        <v>127</v>
      </c>
      <c r="C36" s="47">
        <f>C12</f>
        <v>0</v>
      </c>
      <c r="D36" s="47">
        <f t="shared" ref="D36:H36" si="28">D12</f>
        <v>0</v>
      </c>
      <c r="E36" s="47">
        <f t="shared" si="28"/>
        <v>1066590.4222895724</v>
      </c>
      <c r="F36" s="47">
        <f t="shared" si="28"/>
        <v>2809345.4672995768</v>
      </c>
      <c r="G36" s="47">
        <f t="shared" si="28"/>
        <v>6942548.082309708</v>
      </c>
      <c r="H36" s="47">
        <f t="shared" si="28"/>
        <v>10367515.105178883</v>
      </c>
      <c r="I36" s="47">
        <f t="shared" ref="I36:AO36" si="29">I12</f>
        <v>13912409.69669489</v>
      </c>
      <c r="J36" s="47">
        <f t="shared" si="29"/>
        <v>17563651.125956379</v>
      </c>
      <c r="K36" s="47">
        <f t="shared" si="29"/>
        <v>21324429.798095711</v>
      </c>
      <c r="L36" s="47">
        <f t="shared" si="29"/>
        <v>24573722.31256374</v>
      </c>
      <c r="M36" s="47">
        <f t="shared" si="29"/>
        <v>24605441.327340674</v>
      </c>
      <c r="N36" s="47">
        <f t="shared" si="29"/>
        <v>24632517.267039396</v>
      </c>
      <c r="O36" s="47">
        <f t="shared" si="29"/>
        <v>24659881.622666612</v>
      </c>
      <c r="P36" s="47">
        <f t="shared" si="29"/>
        <v>24688066.908962645</v>
      </c>
      <c r="Q36" s="47">
        <f t="shared" si="29"/>
        <v>24688066.908962645</v>
      </c>
      <c r="R36" s="47">
        <f t="shared" si="29"/>
        <v>24688066.908962645</v>
      </c>
      <c r="S36" s="47">
        <f t="shared" si="29"/>
        <v>24688066.908962645</v>
      </c>
      <c r="T36" s="47">
        <f t="shared" si="29"/>
        <v>24688066.908962645</v>
      </c>
      <c r="U36" s="47">
        <f t="shared" si="29"/>
        <v>24688066.908962645</v>
      </c>
      <c r="V36" s="47">
        <f t="shared" si="29"/>
        <v>24688066.908962645</v>
      </c>
      <c r="W36" s="47">
        <f t="shared" si="29"/>
        <v>24688066.908962645</v>
      </c>
      <c r="X36" s="47">
        <f t="shared" si="29"/>
        <v>24688066.908962645</v>
      </c>
      <c r="Y36" s="47">
        <f t="shared" si="29"/>
        <v>23621476.486673072</v>
      </c>
      <c r="Z36" s="47">
        <f t="shared" si="29"/>
        <v>21878721.441663064</v>
      </c>
      <c r="AA36" s="47">
        <f t="shared" si="29"/>
        <v>17745518.826652937</v>
      </c>
      <c r="AB36" s="47">
        <f t="shared" si="29"/>
        <v>14320551.803783761</v>
      </c>
      <c r="AC36" s="47">
        <f t="shared" si="29"/>
        <v>10775657.212267755</v>
      </c>
      <c r="AD36" s="47">
        <f t="shared" si="29"/>
        <v>7124415.7830062695</v>
      </c>
      <c r="AE36" s="47">
        <f t="shared" si="29"/>
        <v>3363637.1108669383</v>
      </c>
      <c r="AF36" s="47">
        <f t="shared" si="29"/>
        <v>114344.59639890766</v>
      </c>
      <c r="AG36" s="47">
        <f t="shared" si="29"/>
        <v>82625.581621972946</v>
      </c>
      <c r="AH36" s="47">
        <f t="shared" si="29"/>
        <v>55549.641923248957</v>
      </c>
      <c r="AI36" s="47">
        <f t="shared" si="29"/>
        <v>28185.286296032715</v>
      </c>
      <c r="AJ36" s="47">
        <f t="shared" si="29"/>
        <v>0</v>
      </c>
      <c r="AK36" s="47">
        <f t="shared" si="29"/>
        <v>0</v>
      </c>
      <c r="AL36" s="47">
        <f t="shared" si="29"/>
        <v>0</v>
      </c>
      <c r="AM36" s="47">
        <f t="shared" si="29"/>
        <v>0</v>
      </c>
      <c r="AN36" s="47">
        <f t="shared" si="29"/>
        <v>0</v>
      </c>
      <c r="AO36" s="47">
        <f t="shared" si="29"/>
        <v>0</v>
      </c>
      <c r="AP36" s="47">
        <f t="shared" ref="AP36:BC36" si="30">AP12</f>
        <v>0</v>
      </c>
      <c r="AQ36" s="47">
        <f t="shared" si="30"/>
        <v>0</v>
      </c>
      <c r="AR36" s="47">
        <f t="shared" si="30"/>
        <v>0</v>
      </c>
      <c r="AS36" s="47">
        <f t="shared" si="30"/>
        <v>0</v>
      </c>
      <c r="AT36" s="47">
        <f t="shared" si="30"/>
        <v>0</v>
      </c>
      <c r="AU36" s="47">
        <f t="shared" si="30"/>
        <v>0</v>
      </c>
      <c r="AV36" s="47">
        <f t="shared" si="30"/>
        <v>0</v>
      </c>
      <c r="AW36" s="47">
        <f t="shared" si="30"/>
        <v>0</v>
      </c>
      <c r="AX36" s="47">
        <f t="shared" si="30"/>
        <v>0</v>
      </c>
      <c r="AY36" s="47">
        <f t="shared" si="30"/>
        <v>0</v>
      </c>
      <c r="AZ36" s="47">
        <f t="shared" si="30"/>
        <v>0</v>
      </c>
      <c r="BA36" s="47">
        <f t="shared" si="30"/>
        <v>0</v>
      </c>
      <c r="BB36" s="47">
        <f t="shared" si="30"/>
        <v>0</v>
      </c>
      <c r="BC36" s="47">
        <f t="shared" si="30"/>
        <v>0</v>
      </c>
    </row>
    <row r="37" spans="1:57">
      <c r="B37" s="48" t="s">
        <v>128</v>
      </c>
      <c r="C37" s="47">
        <f>C16+C17</f>
        <v>0</v>
      </c>
      <c r="D37" s="47">
        <f t="shared" ref="D37:H37" si="31">D16+D17</f>
        <v>260487.43464531354</v>
      </c>
      <c r="E37" s="47">
        <f t="shared" si="31"/>
        <v>920819.41312640021</v>
      </c>
      <c r="F37" s="47">
        <f t="shared" si="31"/>
        <v>2265594.0970104253</v>
      </c>
      <c r="G37" s="47">
        <f t="shared" si="31"/>
        <v>3890867.3903160747</v>
      </c>
      <c r="H37" s="47">
        <f t="shared" si="31"/>
        <v>5217866.4327168446</v>
      </c>
      <c r="I37" s="47">
        <f t="shared" ref="I37:AO37" si="32">I16+I17</f>
        <v>6478236.738582653</v>
      </c>
      <c r="J37" s="47">
        <f t="shared" si="32"/>
        <v>7676265.090849922</v>
      </c>
      <c r="K37" s="47">
        <f t="shared" si="32"/>
        <v>8664769.1085776724</v>
      </c>
      <c r="L37" s="47">
        <f t="shared" si="32"/>
        <v>8645938.7053151168</v>
      </c>
      <c r="M37" s="47">
        <f t="shared" si="32"/>
        <v>7833677.2631572764</v>
      </c>
      <c r="N37" s="47">
        <f t="shared" si="32"/>
        <v>7082306.3716225326</v>
      </c>
      <c r="O37" s="47">
        <f t="shared" si="32"/>
        <v>6381328.1198750399</v>
      </c>
      <c r="P37" s="47">
        <f t="shared" si="32"/>
        <v>5721377.0925628264</v>
      </c>
      <c r="Q37" s="47">
        <f t="shared" si="32"/>
        <v>5103734.1805654662</v>
      </c>
      <c r="R37" s="47">
        <f t="shared" si="32"/>
        <v>4531079.1240654234</v>
      </c>
      <c r="S37" s="47">
        <f t="shared" si="32"/>
        <v>3999858.4083431447</v>
      </c>
      <c r="T37" s="47">
        <f t="shared" si="32"/>
        <v>3511226.3226568941</v>
      </c>
      <c r="U37" s="47">
        <f t="shared" si="32"/>
        <v>3064541.4099723287</v>
      </c>
      <c r="V37" s="47">
        <f t="shared" si="32"/>
        <v>2647747.3355404045</v>
      </c>
      <c r="W37" s="47">
        <f t="shared" si="32"/>
        <v>2240647.2176550776</v>
      </c>
      <c r="X37" s="47">
        <f t="shared" si="32"/>
        <v>1833875.7707860116</v>
      </c>
      <c r="Y37" s="47">
        <f t="shared" si="32"/>
        <v>1436196.4681267105</v>
      </c>
      <c r="Z37" s="47">
        <f t="shared" si="32"/>
        <v>1061867.5684183277</v>
      </c>
      <c r="AA37" s="47">
        <f t="shared" si="32"/>
        <v>735951.25796938129</v>
      </c>
      <c r="AB37" s="47">
        <f t="shared" si="32"/>
        <v>472202.21547167934</v>
      </c>
      <c r="AC37" s="47">
        <f t="shared" si="32"/>
        <v>265781.50447807787</v>
      </c>
      <c r="AD37" s="47">
        <f t="shared" si="32"/>
        <v>118550.27157917479</v>
      </c>
      <c r="AE37" s="47">
        <f t="shared" si="32"/>
        <v>32284.201117810793</v>
      </c>
      <c r="AF37" s="47">
        <f t="shared" si="32"/>
        <v>3677.1929287504827</v>
      </c>
      <c r="AG37" s="47">
        <f t="shared" si="32"/>
        <v>2057.0787447481744</v>
      </c>
      <c r="AH37" s="47">
        <f t="shared" si="32"/>
        <v>920.5633504249563</v>
      </c>
      <c r="AI37" s="47">
        <f t="shared" si="32"/>
        <v>231.82891220997226</v>
      </c>
      <c r="AJ37" s="47">
        <f t="shared" si="32"/>
        <v>1.0419192894914886E-9</v>
      </c>
      <c r="AK37" s="47">
        <f t="shared" si="32"/>
        <v>1.0419192894914886E-9</v>
      </c>
      <c r="AL37" s="47">
        <f t="shared" si="32"/>
        <v>1.0419192894914886E-9</v>
      </c>
      <c r="AM37" s="47">
        <f t="shared" si="32"/>
        <v>1.0419192894914886E-9</v>
      </c>
      <c r="AN37" s="47">
        <f t="shared" si="32"/>
        <v>1.0419192894914886E-9</v>
      </c>
      <c r="AO37" s="47">
        <f t="shared" si="32"/>
        <v>1.0419192894914886E-9</v>
      </c>
      <c r="AP37" s="47">
        <f t="shared" ref="AP37:BC37" si="33">AP16+AP17</f>
        <v>1.0419192894914886E-9</v>
      </c>
      <c r="AQ37" s="47">
        <f t="shared" si="33"/>
        <v>1.0419192894914886E-9</v>
      </c>
      <c r="AR37" s="47">
        <f t="shared" si="33"/>
        <v>1.0419192894914886E-9</v>
      </c>
      <c r="AS37" s="47">
        <f t="shared" si="33"/>
        <v>1.0419192894914886E-9</v>
      </c>
      <c r="AT37" s="47">
        <f t="shared" si="33"/>
        <v>1.0419192894914886E-9</v>
      </c>
      <c r="AU37" s="47">
        <f t="shared" si="33"/>
        <v>1.0419192894914886E-9</v>
      </c>
      <c r="AV37" s="47">
        <f t="shared" si="33"/>
        <v>1.0419192894914886E-9</v>
      </c>
      <c r="AW37" s="47">
        <f t="shared" si="33"/>
        <v>1.0419192894914886E-9</v>
      </c>
      <c r="AX37" s="47">
        <f t="shared" si="33"/>
        <v>1.0419192894914886E-9</v>
      </c>
      <c r="AY37" s="47">
        <f t="shared" si="33"/>
        <v>1.0419192894914886E-9</v>
      </c>
      <c r="AZ37" s="47">
        <f t="shared" si="33"/>
        <v>1.0419192894914886E-9</v>
      </c>
      <c r="BA37" s="47">
        <f t="shared" si="33"/>
        <v>1.0419192894914886E-9</v>
      </c>
      <c r="BB37" s="47">
        <f t="shared" si="33"/>
        <v>1.0419192894914886E-9</v>
      </c>
      <c r="BC37" s="47">
        <f t="shared" si="33"/>
        <v>1.0419192894914886E-9</v>
      </c>
    </row>
    <row r="38" spans="1:57">
      <c r="B38" s="226" t="s">
        <v>88</v>
      </c>
      <c r="C38" s="227">
        <f>SUM(C35:C37)</f>
        <v>0</v>
      </c>
      <c r="D38" s="227">
        <f t="shared" ref="D38:H38" si="34">SUM(D35:D37)</f>
        <v>1060232.5588277213</v>
      </c>
      <c r="E38" s="227">
        <f t="shared" si="34"/>
        <v>4814497.586896481</v>
      </c>
      <c r="F38" s="227">
        <f t="shared" si="34"/>
        <v>12030737.009694118</v>
      </c>
      <c r="G38" s="227">
        <f t="shared" si="34"/>
        <v>22779105.783878557</v>
      </c>
      <c r="H38" s="227">
        <f t="shared" si="34"/>
        <v>31605207.00042665</v>
      </c>
      <c r="I38" s="227">
        <f t="shared" ref="I38:AO38" si="35">SUM(I35:I37)</f>
        <v>40280044.371248327</v>
      </c>
      <c r="J38" s="227">
        <f t="shared" si="35"/>
        <v>48807485.173435457</v>
      </c>
      <c r="K38" s="227">
        <f t="shared" si="35"/>
        <v>56591660.004986539</v>
      </c>
      <c r="L38" s="227">
        <f t="shared" si="35"/>
        <v>59764309.257709518</v>
      </c>
      <c r="M38" s="227">
        <f t="shared" si="35"/>
        <v>56489972.345340818</v>
      </c>
      <c r="N38" s="227">
        <f t="shared" si="35"/>
        <v>53458828.282814637</v>
      </c>
      <c r="O38" s="227">
        <f t="shared" si="35"/>
        <v>50633080.10138306</v>
      </c>
      <c r="P38" s="227">
        <f t="shared" si="35"/>
        <v>47975141.32437852</v>
      </c>
      <c r="Q38" s="227">
        <f t="shared" si="35"/>
        <v>45461219.200186931</v>
      </c>
      <c r="R38" s="227">
        <f t="shared" si="35"/>
        <v>43130406.058641799</v>
      </c>
      <c r="S38" s="227">
        <f t="shared" si="35"/>
        <v>40968238.430481859</v>
      </c>
      <c r="T38" s="227">
        <f t="shared" si="35"/>
        <v>38979414.488790117</v>
      </c>
      <c r="U38" s="227">
        <f t="shared" si="35"/>
        <v>37161323.383512259</v>
      </c>
      <c r="V38" s="227">
        <f t="shared" si="35"/>
        <v>35464893.5782094</v>
      </c>
      <c r="W38" s="227">
        <f t="shared" si="35"/>
        <v>33807919.988399461</v>
      </c>
      <c r="X38" s="227">
        <f t="shared" si="35"/>
        <v>32152284.15107289</v>
      </c>
      <c r="Y38" s="227">
        <f t="shared" si="35"/>
        <v>29467064.618226022</v>
      </c>
      <c r="Z38" s="227">
        <f t="shared" si="35"/>
        <v>26200720.968178768</v>
      </c>
      <c r="AA38" s="227">
        <f t="shared" si="35"/>
        <v>20740978.037465952</v>
      </c>
      <c r="AB38" s="227">
        <f t="shared" si="35"/>
        <v>16242503.102031019</v>
      </c>
      <c r="AC38" s="227">
        <f t="shared" si="35"/>
        <v>11857437.625075638</v>
      </c>
      <c r="AD38" s="227">
        <f t="shared" si="35"/>
        <v>7606937.55207837</v>
      </c>
      <c r="AE38" s="227">
        <f t="shared" si="35"/>
        <v>3495039.8451579507</v>
      </c>
      <c r="AF38" s="227">
        <f t="shared" si="35"/>
        <v>129311.45909407327</v>
      </c>
      <c r="AG38" s="227">
        <f t="shared" si="35"/>
        <v>90998.276697357884</v>
      </c>
      <c r="AH38" s="227">
        <f t="shared" si="35"/>
        <v>59296.506864788404</v>
      </c>
      <c r="AI38" s="227">
        <f t="shared" si="35"/>
        <v>29128.873310651295</v>
      </c>
      <c r="AJ38" s="227">
        <f t="shared" si="35"/>
        <v>4.2408063018228869E-9</v>
      </c>
      <c r="AK38" s="227">
        <f t="shared" si="35"/>
        <v>4.2408063018228869E-9</v>
      </c>
      <c r="AL38" s="227">
        <f t="shared" si="35"/>
        <v>4.2408063018228869E-9</v>
      </c>
      <c r="AM38" s="227">
        <f t="shared" si="35"/>
        <v>4.2408063018228869E-9</v>
      </c>
      <c r="AN38" s="227">
        <f t="shared" si="35"/>
        <v>4.2408063018228869E-9</v>
      </c>
      <c r="AO38" s="227">
        <f t="shared" si="35"/>
        <v>4.2408063018228869E-9</v>
      </c>
      <c r="AP38" s="227">
        <f t="shared" ref="AP38:BC38" si="36">SUM(AP35:AP37)</f>
        <v>4.2408063018228869E-9</v>
      </c>
      <c r="AQ38" s="227">
        <f t="shared" si="36"/>
        <v>4.2408063018228869E-9</v>
      </c>
      <c r="AR38" s="227">
        <f t="shared" si="36"/>
        <v>4.2408063018228869E-9</v>
      </c>
      <c r="AS38" s="227">
        <f t="shared" si="36"/>
        <v>4.2408063018228869E-9</v>
      </c>
      <c r="AT38" s="227">
        <f t="shared" si="36"/>
        <v>4.2408063018228869E-9</v>
      </c>
      <c r="AU38" s="227">
        <f t="shared" si="36"/>
        <v>4.2408063018228869E-9</v>
      </c>
      <c r="AV38" s="227">
        <f t="shared" si="36"/>
        <v>4.2408063018228869E-9</v>
      </c>
      <c r="AW38" s="227">
        <f t="shared" si="36"/>
        <v>4.2408063018228869E-9</v>
      </c>
      <c r="AX38" s="227">
        <f t="shared" si="36"/>
        <v>4.2408063018228869E-9</v>
      </c>
      <c r="AY38" s="227">
        <f t="shared" si="36"/>
        <v>4.2408063018228869E-9</v>
      </c>
      <c r="AZ38" s="227">
        <f t="shared" si="36"/>
        <v>4.2408063018228869E-9</v>
      </c>
      <c r="BA38" s="227">
        <f t="shared" si="36"/>
        <v>4.2408063018228869E-9</v>
      </c>
      <c r="BB38" s="227">
        <f t="shared" si="36"/>
        <v>4.2408063018228869E-9</v>
      </c>
      <c r="BC38" s="227">
        <f t="shared" si="36"/>
        <v>4.2408063018228869E-9</v>
      </c>
    </row>
    <row r="39" spans="1:57">
      <c r="B39" s="53"/>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row>
    <row r="40" spans="1:57">
      <c r="B40" s="53" t="s">
        <v>209</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row>
    <row r="41" spans="1:57">
      <c r="B41" s="48" t="s">
        <v>211</v>
      </c>
      <c r="C41" s="47">
        <f>VLOOKUP(C$4,'Financial Assumptions'!$B$61:$D$65,2,FALSE)</f>
        <v>275987605.11104143</v>
      </c>
      <c r="D41" s="47">
        <f>IFERROR(VLOOKUP(D$4,'Financial Assumptions'!$B$61:$D$65,2,FALSE),C41)</f>
        <v>321245250.31250405</v>
      </c>
      <c r="E41" s="47">
        <f>IFERROR(VLOOKUP(E$4,'Financial Assumptions'!$B$61:$D$65,2,FALSE),D41)</f>
        <v>339997508.10098433</v>
      </c>
      <c r="F41" s="47">
        <f>IFERROR(VLOOKUP(F$4,'Financial Assumptions'!$B$61:$D$65,2,FALSE),E41)</f>
        <v>341351765.06327677</v>
      </c>
      <c r="G41" s="47">
        <f>IFERROR(VLOOKUP(G$4,'Financial Assumptions'!$B$61:$D$65,2,FALSE),F41)</f>
        <v>341351765.06327677</v>
      </c>
      <c r="H41" s="47">
        <f>IFERROR(VLOOKUP(H$4,'Financial Assumptions'!$B$61:$D$65,2,FALSE),G41)</f>
        <v>341351765.06327677</v>
      </c>
      <c r="I41" s="47">
        <f>IFERROR(VLOOKUP(I$4,'Financial Assumptions'!$B$61:$D$65,2,FALSE),H41)</f>
        <v>341351765.06327677</v>
      </c>
      <c r="J41" s="47">
        <f>IFERROR(VLOOKUP(J$4,'Financial Assumptions'!$B$61:$D$65,2,FALSE),I41)</f>
        <v>341351765.06327677</v>
      </c>
      <c r="K41" s="47">
        <f>IFERROR(VLOOKUP(K$4,'Financial Assumptions'!$B$61:$D$65,2,FALSE),J41)</f>
        <v>341351765.06327677</v>
      </c>
      <c r="L41" s="47">
        <f>IFERROR(VLOOKUP(L$4,'Financial Assumptions'!$B$61:$D$65,2,FALSE),K41)</f>
        <v>341351765.06327677</v>
      </c>
      <c r="M41" s="47">
        <f>IFERROR(VLOOKUP(M$4,'Financial Assumptions'!$B$61:$D$65,2,FALSE),L41)</f>
        <v>341351765.06327677</v>
      </c>
      <c r="N41" s="47">
        <f>IFERROR(VLOOKUP(N$4,'Financial Assumptions'!$B$61:$D$65,2,FALSE),M41)</f>
        <v>341351765.06327677</v>
      </c>
      <c r="O41" s="47">
        <f>IFERROR(VLOOKUP(O$4,'Financial Assumptions'!$B$61:$D$65,2,FALSE),N41)</f>
        <v>341351765.06327677</v>
      </c>
      <c r="P41" s="47">
        <f>IFERROR(VLOOKUP(P$4,'Financial Assumptions'!$B$61:$D$65,2,FALSE),O41)</f>
        <v>341351765.06327677</v>
      </c>
      <c r="Q41" s="47">
        <f>IFERROR(VLOOKUP(Q$4,'Financial Assumptions'!$B$61:$D$65,2,FALSE),P41)</f>
        <v>341351765.06327677</v>
      </c>
      <c r="R41" s="47">
        <f>IFERROR(VLOOKUP(R$4,'Financial Assumptions'!$B$61:$D$65,2,FALSE),Q41)</f>
        <v>341351765.06327677</v>
      </c>
      <c r="S41" s="47">
        <f>IFERROR(VLOOKUP(S$4,'Financial Assumptions'!$B$61:$D$65,2,FALSE),R41)</f>
        <v>341351765.06327677</v>
      </c>
      <c r="T41" s="47">
        <f>IFERROR(VLOOKUP(T$4,'Financial Assumptions'!$B$61:$D$65,2,FALSE),S41)</f>
        <v>341351765.06327677</v>
      </c>
      <c r="U41" s="47">
        <f>IFERROR(VLOOKUP(U$4,'Financial Assumptions'!$B$61:$D$65,2,FALSE),T41)</f>
        <v>341351765.06327677</v>
      </c>
      <c r="V41" s="47">
        <f>IFERROR(VLOOKUP(V$4,'Financial Assumptions'!$B$61:$D$65,2,FALSE),U41)</f>
        <v>341351765.06327677</v>
      </c>
      <c r="W41" s="47">
        <f>IFERROR(VLOOKUP(W$4,'Financial Assumptions'!$B$61:$D$65,2,FALSE),V41)</f>
        <v>341351765.06327677</v>
      </c>
      <c r="X41" s="47">
        <f>IFERROR(VLOOKUP(X$4,'Financial Assumptions'!$B$61:$D$65,2,FALSE),W41)</f>
        <v>341351765.06327677</v>
      </c>
      <c r="Y41" s="47">
        <f>IFERROR(VLOOKUP(Y$4,'Financial Assumptions'!$B$61:$D$65,2,FALSE),X41)</f>
        <v>341351765.06327677</v>
      </c>
      <c r="Z41" s="47">
        <f>IFERROR(VLOOKUP(Z$4,'Financial Assumptions'!$B$61:$D$65,2,FALSE),Y41)</f>
        <v>341351765.06327677</v>
      </c>
      <c r="AA41" s="47">
        <f>IFERROR(VLOOKUP(AA$4,'Financial Assumptions'!$B$61:$D$65,2,FALSE),Z41)</f>
        <v>341351765.06327677</v>
      </c>
      <c r="AB41" s="47">
        <f>IFERROR(VLOOKUP(AB$4,'Financial Assumptions'!$B$61:$D$65,2,FALSE),AA41)</f>
        <v>341351765.06327677</v>
      </c>
      <c r="AC41" s="47">
        <f>IFERROR(VLOOKUP(AC$4,'Financial Assumptions'!$B$61:$D$65,2,FALSE),AB41)</f>
        <v>341351765.06327677</v>
      </c>
      <c r="AD41" s="47">
        <f>IFERROR(VLOOKUP(AD$4,'Financial Assumptions'!$B$61:$D$65,2,FALSE),AC41)</f>
        <v>341351765.06327677</v>
      </c>
      <c r="AE41" s="47">
        <f>IFERROR(VLOOKUP(AE$4,'Financial Assumptions'!$B$61:$D$65,2,FALSE),AD41)</f>
        <v>341351765.06327677</v>
      </c>
      <c r="AF41" s="47">
        <f>IFERROR(VLOOKUP(AF$4,'Financial Assumptions'!$B$61:$D$65,2,FALSE),AE41)</f>
        <v>341351765.06327677</v>
      </c>
      <c r="AG41" s="47">
        <f>IFERROR(VLOOKUP(AG$4,'Financial Assumptions'!$B$61:$D$65,2,FALSE),AF41)</f>
        <v>341351765.06327677</v>
      </c>
      <c r="AH41" s="47">
        <f>IFERROR(VLOOKUP(AH$4,'Financial Assumptions'!$B$61:$D$65,2,FALSE),AG41)</f>
        <v>341351765.06327677</v>
      </c>
      <c r="AI41" s="47">
        <f>IFERROR(VLOOKUP(AI$4,'Financial Assumptions'!$B$61:$D$65,2,FALSE),AH41)</f>
        <v>341351765.06327677</v>
      </c>
      <c r="AJ41" s="47">
        <f>IFERROR(VLOOKUP(AJ$4,'Financial Assumptions'!$B$61:$D$65,2,FALSE),AI41)</f>
        <v>341351765.06327677</v>
      </c>
      <c r="AK41" s="47">
        <f>IFERROR(VLOOKUP(AK$4,'Financial Assumptions'!$B$61:$D$65,2,FALSE),AJ41)</f>
        <v>341351765.06327677</v>
      </c>
      <c r="AL41" s="47">
        <f>IFERROR(VLOOKUP(AL$4,'Financial Assumptions'!$B$61:$D$65,2,FALSE),AK41)</f>
        <v>341351765.06327677</v>
      </c>
      <c r="AM41" s="47">
        <f>IFERROR(VLOOKUP(AM$4,'Financial Assumptions'!$B$61:$D$65,2,FALSE),AL41)</f>
        <v>341351765.06327677</v>
      </c>
      <c r="AN41" s="47">
        <f>IFERROR(VLOOKUP(AN$4,'Financial Assumptions'!$B$61:$D$65,2,FALSE),AM41)</f>
        <v>341351765.06327677</v>
      </c>
      <c r="AO41" s="47">
        <f>IFERROR(VLOOKUP(AO$4,'Financial Assumptions'!$B$61:$D$65,2,FALSE),AN41)</f>
        <v>341351765.06327677</v>
      </c>
      <c r="AP41" s="47">
        <f>IFERROR(VLOOKUP(AP$4,'Financial Assumptions'!$B$61:$D$65,2,FALSE),AO41)</f>
        <v>341351765.06327677</v>
      </c>
      <c r="AQ41" s="47">
        <f>IFERROR(VLOOKUP(AQ$4,'Financial Assumptions'!$B$61:$D$65,2,FALSE),AP41)</f>
        <v>341351765.06327677</v>
      </c>
      <c r="AR41" s="47">
        <f>IFERROR(VLOOKUP(AR$4,'Financial Assumptions'!$B$61:$D$65,2,FALSE),AQ41)</f>
        <v>341351765.06327677</v>
      </c>
      <c r="AS41" s="47">
        <f>IFERROR(VLOOKUP(AS$4,'Financial Assumptions'!$B$61:$D$65,2,FALSE),AR41)</f>
        <v>341351765.06327677</v>
      </c>
      <c r="AT41" s="47">
        <f>IFERROR(VLOOKUP(AT$4,'Financial Assumptions'!$B$61:$D$65,2,FALSE),AS41)</f>
        <v>341351765.06327677</v>
      </c>
      <c r="AU41" s="47">
        <f>IFERROR(VLOOKUP(AU$4,'Financial Assumptions'!$B$61:$D$65,2,FALSE),AT41)</f>
        <v>341351765.06327677</v>
      </c>
      <c r="AV41" s="47">
        <f>IFERROR(VLOOKUP(AV$4,'Financial Assumptions'!$B$61:$D$65,2,FALSE),AU41)</f>
        <v>341351765.06327677</v>
      </c>
      <c r="AW41" s="47">
        <f>IFERROR(VLOOKUP(AW$4,'Financial Assumptions'!$B$61:$D$65,2,FALSE),AV41)</f>
        <v>341351765.06327677</v>
      </c>
      <c r="AX41" s="47">
        <f>IFERROR(VLOOKUP(AX$4,'Financial Assumptions'!$B$61:$D$65,2,FALSE),AW41)</f>
        <v>341351765.06327677</v>
      </c>
      <c r="AY41" s="47">
        <f>IFERROR(VLOOKUP(AY$4,'Financial Assumptions'!$B$61:$D$65,2,FALSE),AX41)</f>
        <v>341351765.06327677</v>
      </c>
      <c r="AZ41" s="47">
        <f>IFERROR(VLOOKUP(AZ$4,'Financial Assumptions'!$B$61:$D$65,2,FALSE),AY41)</f>
        <v>341351765.06327677</v>
      </c>
      <c r="BA41" s="47">
        <f>IFERROR(VLOOKUP(BA$4,'Financial Assumptions'!$B$61:$D$65,2,FALSE),AZ41)</f>
        <v>341351765.06327677</v>
      </c>
      <c r="BB41" s="47">
        <f>IFERROR(VLOOKUP(BB$4,'Financial Assumptions'!$B$61:$D$65,2,FALSE),BA41)</f>
        <v>341351765.06327677</v>
      </c>
      <c r="BC41" s="47">
        <f>IFERROR(VLOOKUP(BC$4,'Financial Assumptions'!$B$61:$D$65,2,FALSE),BB41)</f>
        <v>341351765.06327677</v>
      </c>
      <c r="BD41" s="340"/>
      <c r="BE41" s="340"/>
    </row>
    <row r="42" spans="1:57">
      <c r="B42" s="48" t="s">
        <v>212</v>
      </c>
      <c r="C42" s="47">
        <f>VLOOKUP(C$4,'Financial Assumptions'!$B$61:$D$65,3,FALSE)</f>
        <v>3537346037.4430599</v>
      </c>
      <c r="D42" s="47">
        <f>IFERROR(VLOOKUP(D$4,'Financial Assumptions'!$B$61:$D$65,3,FALSE),C42)</f>
        <v>3511617582.85116</v>
      </c>
      <c r="E42" s="47">
        <f>IFERROR(VLOOKUP(E$4,'Financial Assumptions'!$B$61:$D$65,3,FALSE),D42)</f>
        <v>3533864680.4483299</v>
      </c>
      <c r="F42" s="47">
        <f>IFERROR(VLOOKUP(F$4,'Financial Assumptions'!$B$61:$D$65,3,FALSE),E42)</f>
        <v>3720452144.0946102</v>
      </c>
      <c r="G42" s="47">
        <f>IFERROR(VLOOKUP(G$4,'Financial Assumptions'!$B$61:$D$65,3,FALSE),F42)</f>
        <v>3720452144.0946102</v>
      </c>
      <c r="H42" s="47">
        <f>IFERROR(VLOOKUP(H$4,'Financial Assumptions'!$B$61:$D$65,3,FALSE),G42)</f>
        <v>3720452144.0946102</v>
      </c>
      <c r="I42" s="47">
        <f>IFERROR(VLOOKUP(I$4,'Financial Assumptions'!$B$61:$D$65,3,FALSE),H42)</f>
        <v>3720452144.0946102</v>
      </c>
      <c r="J42" s="47">
        <f>IFERROR(VLOOKUP(J$4,'Financial Assumptions'!$B$61:$D$65,3,FALSE),I42)</f>
        <v>3720452144.0946102</v>
      </c>
      <c r="K42" s="47">
        <f>IFERROR(VLOOKUP(K$4,'Financial Assumptions'!$B$61:$D$65,3,FALSE),J42)</f>
        <v>3720452144.0946102</v>
      </c>
      <c r="L42" s="47">
        <f>IFERROR(VLOOKUP(L$4,'Financial Assumptions'!$B$61:$D$65,3,FALSE),K42)</f>
        <v>3720452144.0946102</v>
      </c>
      <c r="M42" s="47">
        <f>IFERROR(VLOOKUP(M$4,'Financial Assumptions'!$B$61:$D$65,3,FALSE),L42)</f>
        <v>3720452144.0946102</v>
      </c>
      <c r="N42" s="47">
        <f>IFERROR(VLOOKUP(N$4,'Financial Assumptions'!$B$61:$D$65,3,FALSE),M42)</f>
        <v>3720452144.0946102</v>
      </c>
      <c r="O42" s="47">
        <f>IFERROR(VLOOKUP(O$4,'Financial Assumptions'!$B$61:$D$65,3,FALSE),N42)</f>
        <v>3720452144.0946102</v>
      </c>
      <c r="P42" s="47">
        <f>IFERROR(VLOOKUP(P$4,'Financial Assumptions'!$B$61:$D$65,3,FALSE),O42)</f>
        <v>3720452144.0946102</v>
      </c>
      <c r="Q42" s="47">
        <f>IFERROR(VLOOKUP(Q$4,'Financial Assumptions'!$B$61:$D$65,3,FALSE),P42)</f>
        <v>3720452144.0946102</v>
      </c>
      <c r="R42" s="47">
        <f>IFERROR(VLOOKUP(R$4,'Financial Assumptions'!$B$61:$D$65,3,FALSE),Q42)</f>
        <v>3720452144.0946102</v>
      </c>
      <c r="S42" s="47">
        <f>IFERROR(VLOOKUP(S$4,'Financial Assumptions'!$B$61:$D$65,3,FALSE),R42)</f>
        <v>3720452144.0946102</v>
      </c>
      <c r="T42" s="47">
        <f>IFERROR(VLOOKUP(T$4,'Financial Assumptions'!$B$61:$D$65,3,FALSE),S42)</f>
        <v>3720452144.0946102</v>
      </c>
      <c r="U42" s="47">
        <f>IFERROR(VLOOKUP(U$4,'Financial Assumptions'!$B$61:$D$65,3,FALSE),T42)</f>
        <v>3720452144.0946102</v>
      </c>
      <c r="V42" s="47">
        <f>IFERROR(VLOOKUP(V$4,'Financial Assumptions'!$B$61:$D$65,3,FALSE),U42)</f>
        <v>3720452144.0946102</v>
      </c>
      <c r="W42" s="47">
        <f>IFERROR(VLOOKUP(W$4,'Financial Assumptions'!$B$61:$D$65,3,FALSE),V42)</f>
        <v>3720452144.0946102</v>
      </c>
      <c r="X42" s="47">
        <f>IFERROR(VLOOKUP(X$4,'Financial Assumptions'!$B$61:$D$65,3,FALSE),W42)</f>
        <v>3720452144.0946102</v>
      </c>
      <c r="Y42" s="47">
        <f>IFERROR(VLOOKUP(Y$4,'Financial Assumptions'!$B$61:$D$65,3,FALSE),X42)</f>
        <v>3720452144.0946102</v>
      </c>
      <c r="Z42" s="47">
        <f>IFERROR(VLOOKUP(Z$4,'Financial Assumptions'!$B$61:$D$65,3,FALSE),Y42)</f>
        <v>3720452144.0946102</v>
      </c>
      <c r="AA42" s="47">
        <f>IFERROR(VLOOKUP(AA$4,'Financial Assumptions'!$B$61:$D$65,3,FALSE),Z42)</f>
        <v>3720452144.0946102</v>
      </c>
      <c r="AB42" s="47">
        <f>IFERROR(VLOOKUP(AB$4,'Financial Assumptions'!$B$61:$D$65,3,FALSE),AA42)</f>
        <v>3720452144.0946102</v>
      </c>
      <c r="AC42" s="47">
        <f>IFERROR(VLOOKUP(AC$4,'Financial Assumptions'!$B$61:$D$65,3,FALSE),AB42)</f>
        <v>3720452144.0946102</v>
      </c>
      <c r="AD42" s="47">
        <f>IFERROR(VLOOKUP(AD$4,'Financial Assumptions'!$B$61:$D$65,3,FALSE),AC42)</f>
        <v>3720452144.0946102</v>
      </c>
      <c r="AE42" s="47">
        <f>IFERROR(VLOOKUP(AE$4,'Financial Assumptions'!$B$61:$D$65,3,FALSE),AD42)</f>
        <v>3720452144.0946102</v>
      </c>
      <c r="AF42" s="47">
        <f>IFERROR(VLOOKUP(AF$4,'Financial Assumptions'!$B$61:$D$65,3,FALSE),AE42)</f>
        <v>3720452144.0946102</v>
      </c>
      <c r="AG42" s="47">
        <f>IFERROR(VLOOKUP(AG$4,'Financial Assumptions'!$B$61:$D$65,3,FALSE),AF42)</f>
        <v>3720452144.0946102</v>
      </c>
      <c r="AH42" s="47">
        <f>IFERROR(VLOOKUP(AH$4,'Financial Assumptions'!$B$61:$D$65,3,FALSE),AG42)</f>
        <v>3720452144.0946102</v>
      </c>
      <c r="AI42" s="47">
        <f>IFERROR(VLOOKUP(AI$4,'Financial Assumptions'!$B$61:$D$65,3,FALSE),AH42)</f>
        <v>3720452144.0946102</v>
      </c>
      <c r="AJ42" s="47">
        <f>IFERROR(VLOOKUP(AJ$4,'Financial Assumptions'!$B$61:$D$65,3,FALSE),AI42)</f>
        <v>3720452144.0946102</v>
      </c>
      <c r="AK42" s="47">
        <f>IFERROR(VLOOKUP(AK$4,'Financial Assumptions'!$B$61:$D$65,3,FALSE),AJ42)</f>
        <v>3720452144.0946102</v>
      </c>
      <c r="AL42" s="47">
        <f>IFERROR(VLOOKUP(AL$4,'Financial Assumptions'!$B$61:$D$65,3,FALSE),AK42)</f>
        <v>3720452144.0946102</v>
      </c>
      <c r="AM42" s="47">
        <f>IFERROR(VLOOKUP(AM$4,'Financial Assumptions'!$B$61:$D$65,3,FALSE),AL42)</f>
        <v>3720452144.0946102</v>
      </c>
      <c r="AN42" s="47">
        <f>IFERROR(VLOOKUP(AN$4,'Financial Assumptions'!$B$61:$D$65,3,FALSE),AM42)</f>
        <v>3720452144.0946102</v>
      </c>
      <c r="AO42" s="47">
        <f>IFERROR(VLOOKUP(AO$4,'Financial Assumptions'!$B$61:$D$65,3,FALSE),AN42)</f>
        <v>3720452144.0946102</v>
      </c>
      <c r="AP42" s="47">
        <f>IFERROR(VLOOKUP(AP$4,'Financial Assumptions'!$B$61:$D$65,3,FALSE),AO42)</f>
        <v>3720452144.0946102</v>
      </c>
      <c r="AQ42" s="47">
        <f>IFERROR(VLOOKUP(AQ$4,'Financial Assumptions'!$B$61:$D$65,3,FALSE),AP42)</f>
        <v>3720452144.0946102</v>
      </c>
      <c r="AR42" s="47">
        <f>IFERROR(VLOOKUP(AR$4,'Financial Assumptions'!$B$61:$D$65,3,FALSE),AQ42)</f>
        <v>3720452144.0946102</v>
      </c>
      <c r="AS42" s="47">
        <f>IFERROR(VLOOKUP(AS$4,'Financial Assumptions'!$B$61:$D$65,3,FALSE),AR42)</f>
        <v>3720452144.0946102</v>
      </c>
      <c r="AT42" s="47">
        <f>IFERROR(VLOOKUP(AT$4,'Financial Assumptions'!$B$61:$D$65,3,FALSE),AS42)</f>
        <v>3720452144.0946102</v>
      </c>
      <c r="AU42" s="47">
        <f>IFERROR(VLOOKUP(AU$4,'Financial Assumptions'!$B$61:$D$65,3,FALSE),AT42)</f>
        <v>3720452144.0946102</v>
      </c>
      <c r="AV42" s="47">
        <f>IFERROR(VLOOKUP(AV$4,'Financial Assumptions'!$B$61:$D$65,3,FALSE),AU42)</f>
        <v>3720452144.0946102</v>
      </c>
      <c r="AW42" s="47">
        <f>IFERROR(VLOOKUP(AW$4,'Financial Assumptions'!$B$61:$D$65,3,FALSE),AV42)</f>
        <v>3720452144.0946102</v>
      </c>
      <c r="AX42" s="47">
        <f>IFERROR(VLOOKUP(AX$4,'Financial Assumptions'!$B$61:$D$65,3,FALSE),AW42)</f>
        <v>3720452144.0946102</v>
      </c>
      <c r="AY42" s="47">
        <f>IFERROR(VLOOKUP(AY$4,'Financial Assumptions'!$B$61:$D$65,3,FALSE),AX42)</f>
        <v>3720452144.0946102</v>
      </c>
      <c r="AZ42" s="47">
        <f>IFERROR(VLOOKUP(AZ$4,'Financial Assumptions'!$B$61:$D$65,3,FALSE),AY42)</f>
        <v>3720452144.0946102</v>
      </c>
      <c r="BA42" s="47">
        <f>IFERROR(VLOOKUP(BA$4,'Financial Assumptions'!$B$61:$D$65,3,FALSE),AZ42)</f>
        <v>3720452144.0946102</v>
      </c>
      <c r="BB42" s="47">
        <f>IFERROR(VLOOKUP(BB$4,'Financial Assumptions'!$B$61:$D$65,3,FALSE),BA42)</f>
        <v>3720452144.0946102</v>
      </c>
      <c r="BC42" s="47">
        <f>IFERROR(VLOOKUP(BC$4,'Financial Assumptions'!$B$61:$D$65,3,FALSE),BB42)</f>
        <v>3720452144.0946102</v>
      </c>
    </row>
    <row r="43" spans="1:57" s="342" customFormat="1">
      <c r="A43" s="341"/>
      <c r="B43" s="342" t="s">
        <v>213</v>
      </c>
      <c r="C43" s="342">
        <f>IFERROR(C41/C42,"")</f>
        <v>7.80210932687085E-2</v>
      </c>
      <c r="D43" s="342">
        <f t="shared" ref="D43:BC43" si="37">IFERROR(D41/D42,"")</f>
        <v>9.148070447115085E-2</v>
      </c>
      <c r="E43" s="342">
        <f t="shared" si="37"/>
        <v>9.6211241472282397E-2</v>
      </c>
      <c r="F43" s="342">
        <f>IFERROR(F41/F42,"")</f>
        <v>9.1750075486146679E-2</v>
      </c>
      <c r="G43" s="342">
        <f t="shared" si="37"/>
        <v>9.1750075486146679E-2</v>
      </c>
      <c r="H43" s="342">
        <f t="shared" si="37"/>
        <v>9.1750075486146679E-2</v>
      </c>
      <c r="I43" s="342">
        <f t="shared" si="37"/>
        <v>9.1750075486146679E-2</v>
      </c>
      <c r="J43" s="342">
        <f t="shared" si="37"/>
        <v>9.1750075486146679E-2</v>
      </c>
      <c r="K43" s="342">
        <f t="shared" si="37"/>
        <v>9.1750075486146679E-2</v>
      </c>
      <c r="L43" s="342">
        <f t="shared" si="37"/>
        <v>9.1750075486146679E-2</v>
      </c>
      <c r="M43" s="342">
        <f t="shared" si="37"/>
        <v>9.1750075486146679E-2</v>
      </c>
      <c r="N43" s="342">
        <f t="shared" si="37"/>
        <v>9.1750075486146679E-2</v>
      </c>
      <c r="O43" s="342">
        <f t="shared" si="37"/>
        <v>9.1750075486146679E-2</v>
      </c>
      <c r="P43" s="342">
        <f t="shared" si="37"/>
        <v>9.1750075486146679E-2</v>
      </c>
      <c r="Q43" s="342">
        <f t="shared" si="37"/>
        <v>9.1750075486146679E-2</v>
      </c>
      <c r="R43" s="342">
        <f t="shared" si="37"/>
        <v>9.1750075486146679E-2</v>
      </c>
      <c r="S43" s="342">
        <f t="shared" si="37"/>
        <v>9.1750075486146679E-2</v>
      </c>
      <c r="T43" s="342">
        <f t="shared" si="37"/>
        <v>9.1750075486146679E-2</v>
      </c>
      <c r="U43" s="342">
        <f t="shared" si="37"/>
        <v>9.1750075486146679E-2</v>
      </c>
      <c r="V43" s="342">
        <f t="shared" si="37"/>
        <v>9.1750075486146679E-2</v>
      </c>
      <c r="W43" s="342">
        <f t="shared" si="37"/>
        <v>9.1750075486146679E-2</v>
      </c>
      <c r="X43" s="342">
        <f t="shared" si="37"/>
        <v>9.1750075486146679E-2</v>
      </c>
      <c r="Y43" s="342">
        <f t="shared" si="37"/>
        <v>9.1750075486146679E-2</v>
      </c>
      <c r="Z43" s="342">
        <f t="shared" si="37"/>
        <v>9.1750075486146679E-2</v>
      </c>
      <c r="AA43" s="342">
        <f t="shared" si="37"/>
        <v>9.1750075486146679E-2</v>
      </c>
      <c r="AB43" s="342">
        <f t="shared" si="37"/>
        <v>9.1750075486146679E-2</v>
      </c>
      <c r="AC43" s="342">
        <f t="shared" si="37"/>
        <v>9.1750075486146679E-2</v>
      </c>
      <c r="AD43" s="342">
        <f t="shared" si="37"/>
        <v>9.1750075486146679E-2</v>
      </c>
      <c r="AE43" s="342">
        <f t="shared" si="37"/>
        <v>9.1750075486146679E-2</v>
      </c>
      <c r="AF43" s="342">
        <f t="shared" si="37"/>
        <v>9.1750075486146679E-2</v>
      </c>
      <c r="AG43" s="342">
        <f t="shared" si="37"/>
        <v>9.1750075486146679E-2</v>
      </c>
      <c r="AH43" s="342">
        <f t="shared" si="37"/>
        <v>9.1750075486146679E-2</v>
      </c>
      <c r="AI43" s="342">
        <f t="shared" si="37"/>
        <v>9.1750075486146679E-2</v>
      </c>
      <c r="AJ43" s="342">
        <f t="shared" si="37"/>
        <v>9.1750075486146679E-2</v>
      </c>
      <c r="AK43" s="342">
        <f t="shared" si="37"/>
        <v>9.1750075486146679E-2</v>
      </c>
      <c r="AL43" s="342">
        <f t="shared" si="37"/>
        <v>9.1750075486146679E-2</v>
      </c>
      <c r="AM43" s="342">
        <f t="shared" si="37"/>
        <v>9.1750075486146679E-2</v>
      </c>
      <c r="AN43" s="342">
        <f t="shared" si="37"/>
        <v>9.1750075486146679E-2</v>
      </c>
      <c r="AO43" s="342">
        <f t="shared" si="37"/>
        <v>9.1750075486146679E-2</v>
      </c>
      <c r="AP43" s="342">
        <f t="shared" si="37"/>
        <v>9.1750075486146679E-2</v>
      </c>
      <c r="AQ43" s="342">
        <f t="shared" si="37"/>
        <v>9.1750075486146679E-2</v>
      </c>
      <c r="AR43" s="342">
        <f t="shared" si="37"/>
        <v>9.1750075486146679E-2</v>
      </c>
      <c r="AS43" s="342">
        <f t="shared" si="37"/>
        <v>9.1750075486146679E-2</v>
      </c>
      <c r="AT43" s="342">
        <f t="shared" si="37"/>
        <v>9.1750075486146679E-2</v>
      </c>
      <c r="AU43" s="342">
        <f t="shared" si="37"/>
        <v>9.1750075486146679E-2</v>
      </c>
      <c r="AV43" s="342">
        <f t="shared" si="37"/>
        <v>9.1750075486146679E-2</v>
      </c>
      <c r="AW43" s="342">
        <f t="shared" si="37"/>
        <v>9.1750075486146679E-2</v>
      </c>
      <c r="AX43" s="342">
        <f t="shared" si="37"/>
        <v>9.1750075486146679E-2</v>
      </c>
      <c r="AY43" s="342">
        <f t="shared" si="37"/>
        <v>9.1750075486146679E-2</v>
      </c>
      <c r="AZ43" s="342">
        <f t="shared" si="37"/>
        <v>9.1750075486146679E-2</v>
      </c>
      <c r="BA43" s="342">
        <f t="shared" si="37"/>
        <v>9.1750075486146679E-2</v>
      </c>
      <c r="BB43" s="342">
        <f t="shared" si="37"/>
        <v>9.1750075486146679E-2</v>
      </c>
      <c r="BC43" s="342">
        <f t="shared" si="37"/>
        <v>9.1750075486146679E-2</v>
      </c>
      <c r="BD43" s="343"/>
      <c r="BE43" s="343"/>
    </row>
    <row r="44" spans="1:57" s="342" customFormat="1">
      <c r="A44" s="341"/>
      <c r="BD44" s="343"/>
      <c r="BE44" s="343"/>
    </row>
    <row r="45" spans="1:57">
      <c r="B45" s="48" t="str">
        <f>CONCATENATE("Net Income",": ",$B$2)</f>
        <v xml:space="preserve">Net Income: AMI Model </v>
      </c>
      <c r="C45" s="47">
        <f t="shared" ref="C45:AH45" si="38">C28</f>
        <v>768990.21816739161</v>
      </c>
      <c r="D45" s="47">
        <f t="shared" si="38"/>
        <v>2509243.893048251</v>
      </c>
      <c r="E45" s="47">
        <f t="shared" si="38"/>
        <v>5946540.3534897985</v>
      </c>
      <c r="F45" s="47">
        <f t="shared" si="38"/>
        <v>9656820.0160329957</v>
      </c>
      <c r="G45" s="47">
        <f t="shared" si="38"/>
        <v>12251026.464522101</v>
      </c>
      <c r="H45" s="47">
        <f>H28</f>
        <v>14878592.548418596</v>
      </c>
      <c r="I45" s="47">
        <f t="shared" si="38"/>
        <v>17374928.334513433</v>
      </c>
      <c r="J45" s="47">
        <f t="shared" si="38"/>
        <v>19310041.057446938</v>
      </c>
      <c r="K45" s="47">
        <f t="shared" si="38"/>
        <v>18457257.306651391</v>
      </c>
      <c r="L45" s="47">
        <f t="shared" si="38"/>
        <v>16099133.288183622</v>
      </c>
      <c r="M45" s="47">
        <f>M28</f>
        <v>14587508.131183811</v>
      </c>
      <c r="N45" s="47">
        <f t="shared" si="38"/>
        <v>13192904.863464441</v>
      </c>
      <c r="O45" s="47">
        <f t="shared" si="38"/>
        <v>11871358.960806139</v>
      </c>
      <c r="P45" s="47">
        <f t="shared" si="38"/>
        <v>10625414.600473819</v>
      </c>
      <c r="Q45" s="47">
        <f t="shared" si="38"/>
        <v>9478363.478193013</v>
      </c>
      <c r="R45" s="47">
        <f t="shared" si="38"/>
        <v>8414861.2304072138</v>
      </c>
      <c r="S45" s="47">
        <f t="shared" si="38"/>
        <v>7428308.4726372696</v>
      </c>
      <c r="T45" s="47">
        <f t="shared" si="38"/>
        <v>6520848.8849342298</v>
      </c>
      <c r="U45" s="47">
        <f t="shared" si="38"/>
        <v>5691291.1899486128</v>
      </c>
      <c r="V45" s="47">
        <f t="shared" si="38"/>
        <v>4917245.0517178942</v>
      </c>
      <c r="W45" s="47">
        <f t="shared" si="38"/>
        <v>4161201.9756451487</v>
      </c>
      <c r="X45" s="47">
        <f t="shared" si="38"/>
        <v>3405769.2886025948</v>
      </c>
      <c r="Y45" s="47">
        <f t="shared" si="38"/>
        <v>2667222.0122353216</v>
      </c>
      <c r="Z45" s="47">
        <f t="shared" si="38"/>
        <v>1972039.7699197542</v>
      </c>
      <c r="AA45" s="47">
        <f t="shared" si="38"/>
        <v>1366766.6219431381</v>
      </c>
      <c r="AB45" s="47">
        <f t="shared" si="38"/>
        <v>876946.97159026214</v>
      </c>
      <c r="AC45" s="47">
        <f t="shared" si="38"/>
        <v>493594.22260214394</v>
      </c>
      <c r="AD45" s="47">
        <f t="shared" si="38"/>
        <v>220164.79007561019</v>
      </c>
      <c r="AE45" s="47">
        <f t="shared" si="38"/>
        <v>59956.373504506562</v>
      </c>
      <c r="AF45" s="47">
        <f t="shared" si="38"/>
        <v>6829.0725819651916</v>
      </c>
      <c r="AG45" s="47">
        <f t="shared" si="38"/>
        <v>3820.289097389465</v>
      </c>
      <c r="AH45" s="47">
        <f t="shared" si="38"/>
        <v>1709.6176507892064</v>
      </c>
      <c r="AI45" s="47">
        <f t="shared" ref="AI45:BC45" si="39">AI28</f>
        <v>430.53940838994328</v>
      </c>
      <c r="AJ45" s="47">
        <f t="shared" si="39"/>
        <v>1.9349929661984793E-9</v>
      </c>
      <c r="AK45" s="47">
        <f t="shared" si="39"/>
        <v>1.9349929661984793E-9</v>
      </c>
      <c r="AL45" s="47">
        <f t="shared" si="39"/>
        <v>1.9349929661984793E-9</v>
      </c>
      <c r="AM45" s="47">
        <f t="shared" si="39"/>
        <v>1.9349929661984793E-9</v>
      </c>
      <c r="AN45" s="47">
        <f t="shared" si="39"/>
        <v>1.9349929661984793E-9</v>
      </c>
      <c r="AO45" s="47">
        <f t="shared" si="39"/>
        <v>1.9349929661984793E-9</v>
      </c>
      <c r="AP45" s="47">
        <f t="shared" si="39"/>
        <v>1.9349929661984793E-9</v>
      </c>
      <c r="AQ45" s="47">
        <f t="shared" si="39"/>
        <v>1.9349929661984793E-9</v>
      </c>
      <c r="AR45" s="47">
        <f t="shared" si="39"/>
        <v>1.9349929661984793E-9</v>
      </c>
      <c r="AS45" s="47">
        <f t="shared" si="39"/>
        <v>1.9349929661984793E-9</v>
      </c>
      <c r="AT45" s="47">
        <f t="shared" si="39"/>
        <v>1.9349929661984793E-9</v>
      </c>
      <c r="AU45" s="47">
        <f t="shared" si="39"/>
        <v>1.9349929661984793E-9</v>
      </c>
      <c r="AV45" s="47">
        <f t="shared" si="39"/>
        <v>1.9349929661984793E-9</v>
      </c>
      <c r="AW45" s="47">
        <f t="shared" si="39"/>
        <v>1.9349929661984793E-9</v>
      </c>
      <c r="AX45" s="47">
        <f t="shared" si="39"/>
        <v>1.9349929661984793E-9</v>
      </c>
      <c r="AY45" s="47">
        <f t="shared" si="39"/>
        <v>1.9349929661984793E-9</v>
      </c>
      <c r="AZ45" s="47">
        <f t="shared" si="39"/>
        <v>1.9349929661984793E-9</v>
      </c>
      <c r="BA45" s="47">
        <f t="shared" si="39"/>
        <v>1.9349929661984793E-9</v>
      </c>
      <c r="BB45" s="47">
        <f t="shared" si="39"/>
        <v>1.9349929661984793E-9</v>
      </c>
      <c r="BC45" s="47">
        <f t="shared" si="39"/>
        <v>1.9349929661984793E-9</v>
      </c>
      <c r="BD45" s="340"/>
      <c r="BE45" s="340"/>
    </row>
    <row r="46" spans="1:57">
      <c r="B46" s="48" t="str">
        <f>CONCATENATE("Equity",": ",$B$2)</f>
        <v xml:space="preserve">Equity: AMI Model </v>
      </c>
      <c r="C46" s="47">
        <f>'Capital Results '!C22*Equity_Percent</f>
        <v>0</v>
      </c>
      <c r="D46" s="47">
        <f>'Capital Results '!D22*Equity_Percent</f>
        <v>0</v>
      </c>
      <c r="E46" s="47">
        <f>'Capital Results '!E22*Equity_Percent</f>
        <v>10239268.053979896</v>
      </c>
      <c r="F46" s="47">
        <f>'Capital Results '!F22*Equity_Percent</f>
        <v>26969716.486075938</v>
      </c>
      <c r="G46" s="47">
        <f>'Capital Results '!G22*Equity_Percent</f>
        <v>66648461.590173192</v>
      </c>
      <c r="H46" s="47">
        <f>'Capital Results '!H22*Equity_Percent</f>
        <v>99528145.009717286</v>
      </c>
      <c r="I46" s="47">
        <f>'Capital Results '!I22*Equity_Percent</f>
        <v>133559133.08827093</v>
      </c>
      <c r="J46" s="47">
        <f>'Capital Results '!J22*Equity_Percent</f>
        <v>168611050.80918121</v>
      </c>
      <c r="K46" s="47">
        <f>'Capital Results '!K22*Equity_Percent</f>
        <v>204714526.06171879</v>
      </c>
      <c r="L46" s="47">
        <f>'Capital Results '!L22*Equity_Percent</f>
        <v>235907734.20061189</v>
      </c>
      <c r="M46" s="47">
        <f>'Capital Results '!M22*Equity_Percent</f>
        <v>236212236.74247047</v>
      </c>
      <c r="N46" s="47">
        <f>'Capital Results '!N22*Equity_Percent</f>
        <v>236472165.76357821</v>
      </c>
      <c r="O46" s="47">
        <f>'Capital Results '!O22*Equity_Percent</f>
        <v>236734863.57759947</v>
      </c>
      <c r="P46" s="47">
        <f>'Capital Results '!P22*Equity_Percent</f>
        <v>237005442.3260414</v>
      </c>
      <c r="Q46" s="47">
        <f>'Capital Results '!Q22*Equity_Percent</f>
        <v>237005442.3260414</v>
      </c>
      <c r="R46" s="47">
        <f>'Capital Results '!R22*Equity_Percent</f>
        <v>237005442.3260414</v>
      </c>
      <c r="S46" s="47">
        <f>'Capital Results '!S22*Equity_Percent</f>
        <v>237005442.3260414</v>
      </c>
      <c r="T46" s="47">
        <f>'Capital Results '!T22*Equity_Percent</f>
        <v>237005442.3260414</v>
      </c>
      <c r="U46" s="47">
        <f>'Capital Results '!U22*Equity_Percent</f>
        <v>237005442.3260414</v>
      </c>
      <c r="V46" s="47">
        <f>'Capital Results '!V22*Equity_Percent</f>
        <v>237005442.3260414</v>
      </c>
      <c r="W46" s="47">
        <f>'Capital Results '!W22*Equity_Percent</f>
        <v>237005442.3260414</v>
      </c>
      <c r="X46" s="47">
        <f>'Capital Results '!X22*Equity_Percent</f>
        <v>237005442.3260414</v>
      </c>
      <c r="Y46" s="47">
        <f>'Capital Results '!Y22*Equity_Percent</f>
        <v>237005442.3260414</v>
      </c>
      <c r="Z46" s="47">
        <f>'Capital Results '!Z22*Equity_Percent</f>
        <v>237005442.3260414</v>
      </c>
      <c r="AA46" s="47">
        <f>'Capital Results '!AA22*Equity_Percent</f>
        <v>237005442.3260414</v>
      </c>
      <c r="AB46" s="47">
        <f>'Capital Results '!AB22*Equity_Percent</f>
        <v>237005442.3260414</v>
      </c>
      <c r="AC46" s="47">
        <f>'Capital Results '!AC22*Equity_Percent</f>
        <v>237005442.3260414</v>
      </c>
      <c r="AD46" s="47">
        <f>'Capital Results '!AD22*Equity_Percent</f>
        <v>237005442.3260414</v>
      </c>
      <c r="AE46" s="47">
        <f>'Capital Results '!AE22*Equity_Percent</f>
        <v>237005442.3260414</v>
      </c>
      <c r="AF46" s="47">
        <f>'Capital Results '!AF22*Equity_Percent</f>
        <v>237005442.3260414</v>
      </c>
      <c r="AG46" s="47">
        <f>'Capital Results '!AG22*Equity_Percent</f>
        <v>237005442.3260414</v>
      </c>
      <c r="AH46" s="47">
        <f>'Capital Results '!AH22*Equity_Percent</f>
        <v>237005442.3260414</v>
      </c>
      <c r="AI46" s="47">
        <f>'Capital Results '!AI22*Equity_Percent</f>
        <v>237005442.3260414</v>
      </c>
      <c r="AJ46" s="47">
        <f>'Capital Results '!AJ22*Equity_Percent</f>
        <v>237005442.3260414</v>
      </c>
      <c r="AK46" s="47">
        <f>'Capital Results '!AK22*Equity_Percent</f>
        <v>237005442.3260414</v>
      </c>
      <c r="AL46" s="47">
        <f>'Capital Results '!AL22*Equity_Percent</f>
        <v>237005442.3260414</v>
      </c>
      <c r="AM46" s="47">
        <f>'Capital Results '!AM22*Equity_Percent</f>
        <v>237005442.3260414</v>
      </c>
      <c r="AN46" s="47">
        <f>'Capital Results '!AN22*Equity_Percent</f>
        <v>237005442.3260414</v>
      </c>
      <c r="AO46" s="47">
        <f>'Capital Results '!AO22*Equity_Percent</f>
        <v>237005442.3260414</v>
      </c>
      <c r="AP46" s="47">
        <f>'Capital Results '!AP22*Equity_Percent</f>
        <v>237005442.3260414</v>
      </c>
      <c r="AQ46" s="47">
        <f>'Capital Results '!AQ22*Equity_Percent</f>
        <v>237005442.3260414</v>
      </c>
      <c r="AR46" s="47">
        <f>'Capital Results '!AR22*Equity_Percent</f>
        <v>0</v>
      </c>
      <c r="AS46" s="47">
        <f>'Capital Results '!AS22*Equity_Percent</f>
        <v>0</v>
      </c>
      <c r="AT46" s="47">
        <f>'Capital Results '!AT22*Equity_Percent</f>
        <v>0</v>
      </c>
      <c r="AU46" s="47">
        <f>'Capital Results '!AU22*Equity_Percent</f>
        <v>0</v>
      </c>
      <c r="AV46" s="47">
        <f>'Capital Results '!AV22*Equity_Percent</f>
        <v>0</v>
      </c>
      <c r="AW46" s="47">
        <f>'Capital Results '!AW22*Equity_Percent</f>
        <v>0</v>
      </c>
      <c r="AX46" s="47">
        <f>'Capital Results '!AX22*Equity_Percent</f>
        <v>0</v>
      </c>
      <c r="AY46" s="47">
        <f>'Capital Results '!AY22*Equity_Percent</f>
        <v>0</v>
      </c>
      <c r="AZ46" s="47">
        <f>'Capital Results '!AZ22*Equity_Percent</f>
        <v>0</v>
      </c>
      <c r="BA46" s="47">
        <f>'Capital Results '!BA22*Equity_Percent</f>
        <v>0</v>
      </c>
      <c r="BB46" s="47">
        <f>'Capital Results '!BB22*Equity_Percent</f>
        <v>0</v>
      </c>
      <c r="BC46" s="47">
        <f>'Capital Results '!BC22*Equity_Percent</f>
        <v>0</v>
      </c>
      <c r="BD46" s="340"/>
      <c r="BE46" s="340"/>
    </row>
    <row r="47" spans="1:57" s="342" customFormat="1">
      <c r="A47" s="341"/>
      <c r="B47" s="48" t="str">
        <f>CONCATENATE("ROE",": ",$B$2)</f>
        <v xml:space="preserve">ROE: AMI Model </v>
      </c>
      <c r="C47" s="342">
        <f>IFERROR(C49-C43,"")</f>
        <v>2.173918553705495E-4</v>
      </c>
      <c r="D47" s="344">
        <f t="shared" ref="D47:BC47" si="40">IFERROR(D49-D43,"")</f>
        <v>7.1455499747523354E-4</v>
      </c>
      <c r="E47" s="344">
        <f t="shared" si="40"/>
        <v>1.3999046682435928E-3</v>
      </c>
      <c r="F47" s="344">
        <f t="shared" si="40"/>
        <v>1.9166100748215786E-3</v>
      </c>
      <c r="G47" s="344">
        <f t="shared" si="40"/>
        <v>1.6202434847855524E-3</v>
      </c>
      <c r="H47" s="344">
        <f t="shared" si="40"/>
        <v>1.504426016849511E-3</v>
      </c>
      <c r="I47" s="344">
        <f t="shared" si="40"/>
        <v>1.3287111592323597E-3</v>
      </c>
      <c r="J47" s="344">
        <f t="shared" si="40"/>
        <v>9.8737516606517417E-4</v>
      </c>
      <c r="K47" s="344">
        <f t="shared" si="40"/>
        <v>-8.2879515689221472E-5</v>
      </c>
      <c r="L47" s="344">
        <f t="shared" si="40"/>
        <v>-1.4016467922725595E-3</v>
      </c>
      <c r="M47" s="344">
        <f t="shared" si="40"/>
        <v>-1.7906452857117117E-3</v>
      </c>
      <c r="N47" s="344">
        <f t="shared" si="40"/>
        <v>-2.149000973946158E-3</v>
      </c>
      <c r="O47" s="344">
        <f t="shared" si="40"/>
        <v>-2.4889100827294175E-3</v>
      </c>
      <c r="P47" s="344">
        <f t="shared" si="40"/>
        <v>-2.8098475803566281E-3</v>
      </c>
      <c r="Q47" s="344">
        <f t="shared" si="40"/>
        <v>-3.0996930423059232E-3</v>
      </c>
      <c r="R47" s="344">
        <f t="shared" si="40"/>
        <v>-3.3684267493796077E-3</v>
      </c>
      <c r="S47" s="344">
        <f t="shared" si="40"/>
        <v>-3.6177162834368087E-3</v>
      </c>
      <c r="T47" s="344">
        <f t="shared" si="40"/>
        <v>-3.847019963359205E-3</v>
      </c>
      <c r="U47" s="344">
        <f t="shared" si="40"/>
        <v>-4.056638810022814E-3</v>
      </c>
      <c r="V47" s="344">
        <f t="shared" si="40"/>
        <v>-4.252230581084801E-3</v>
      </c>
      <c r="W47" s="344">
        <f t="shared" si="40"/>
        <v>-4.443273203668302E-3</v>
      </c>
      <c r="X47" s="344">
        <f t="shared" si="40"/>
        <v>-4.6341615885835824E-3</v>
      </c>
      <c r="Y47" s="344">
        <f t="shared" si="40"/>
        <v>-4.8207832415613494E-3</v>
      </c>
      <c r="Z47" s="344">
        <f t="shared" si="40"/>
        <v>-4.9964470931970484E-3</v>
      </c>
      <c r="AA47" s="344">
        <f t="shared" si="40"/>
        <v>-5.1493920420080108E-3</v>
      </c>
      <c r="AB47" s="344">
        <f t="shared" si="40"/>
        <v>-5.273163337001438E-3</v>
      </c>
      <c r="AC47" s="344">
        <f t="shared" si="40"/>
        <v>-5.3700317785745216E-3</v>
      </c>
      <c r="AD47" s="344">
        <f t="shared" si="40"/>
        <v>-5.439123973893234E-3</v>
      </c>
      <c r="AE47" s="344">
        <f t="shared" si="40"/>
        <v>-5.4796066355699696E-3</v>
      </c>
      <c r="AF47" s="344">
        <f t="shared" si="40"/>
        <v>-5.4930312395644332E-3</v>
      </c>
      <c r="AG47" s="344">
        <f t="shared" si="40"/>
        <v>-5.4937915214926386E-3</v>
      </c>
      <c r="AH47" s="344">
        <f t="shared" si="40"/>
        <v>-5.494324861749722E-3</v>
      </c>
      <c r="AI47" s="344">
        <f t="shared" si="40"/>
        <v>-5.4946480688124605E-3</v>
      </c>
      <c r="AJ47" s="344">
        <f t="shared" si="40"/>
        <v>-5.4947568607322667E-3</v>
      </c>
      <c r="AK47" s="344">
        <f t="shared" si="40"/>
        <v>-5.4947568607322667E-3</v>
      </c>
      <c r="AL47" s="344">
        <f t="shared" si="40"/>
        <v>-5.4947568607322667E-3</v>
      </c>
      <c r="AM47" s="344">
        <f t="shared" si="40"/>
        <v>-5.4947568607322667E-3</v>
      </c>
      <c r="AN47" s="344">
        <f t="shared" si="40"/>
        <v>-5.4947568607322667E-3</v>
      </c>
      <c r="AO47" s="344">
        <f t="shared" si="40"/>
        <v>-5.4947568607322667E-3</v>
      </c>
      <c r="AP47" s="344">
        <f t="shared" si="40"/>
        <v>-5.4947568607322667E-3</v>
      </c>
      <c r="AQ47" s="344">
        <f t="shared" si="40"/>
        <v>-5.4947568607322667E-3</v>
      </c>
      <c r="AR47" s="344">
        <f t="shared" si="40"/>
        <v>0</v>
      </c>
      <c r="AS47" s="344">
        <f t="shared" si="40"/>
        <v>0</v>
      </c>
      <c r="AT47" s="344">
        <f t="shared" si="40"/>
        <v>0</v>
      </c>
      <c r="AU47" s="344">
        <f t="shared" si="40"/>
        <v>0</v>
      </c>
      <c r="AV47" s="344">
        <f t="shared" si="40"/>
        <v>0</v>
      </c>
      <c r="AW47" s="344">
        <f t="shared" si="40"/>
        <v>0</v>
      </c>
      <c r="AX47" s="344">
        <f t="shared" si="40"/>
        <v>0</v>
      </c>
      <c r="AY47" s="344">
        <f t="shared" si="40"/>
        <v>0</v>
      </c>
      <c r="AZ47" s="344">
        <f t="shared" si="40"/>
        <v>0</v>
      </c>
      <c r="BA47" s="344">
        <f t="shared" si="40"/>
        <v>0</v>
      </c>
      <c r="BB47" s="344">
        <f t="shared" si="40"/>
        <v>0</v>
      </c>
      <c r="BC47" s="344">
        <f t="shared" si="40"/>
        <v>0</v>
      </c>
      <c r="BD47" s="343"/>
      <c r="BE47" s="343"/>
    </row>
    <row r="48" spans="1:5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row>
    <row r="49" spans="1:57">
      <c r="B49" s="228" t="s">
        <v>210</v>
      </c>
      <c r="C49" s="345">
        <f>IFERROR(((C41+C45)/(C42+C46)),"")</f>
        <v>7.8238485124079049E-2</v>
      </c>
      <c r="D49" s="345">
        <f t="shared" ref="D49:BC49" si="41">IFERROR(((D41+D45)/(D42+D46)),"")</f>
        <v>9.2195259468626084E-2</v>
      </c>
      <c r="E49" s="345">
        <f t="shared" si="41"/>
        <v>9.7611146140525989E-2</v>
      </c>
      <c r="F49" s="345">
        <f t="shared" si="41"/>
        <v>9.3666685560968257E-2</v>
      </c>
      <c r="G49" s="345">
        <f t="shared" si="41"/>
        <v>9.3370318970932231E-2</v>
      </c>
      <c r="H49" s="345">
        <f t="shared" si="41"/>
        <v>9.325450150299619E-2</v>
      </c>
      <c r="I49" s="345">
        <f t="shared" si="41"/>
        <v>9.3078786645379039E-2</v>
      </c>
      <c r="J49" s="345">
        <f>IFERROR(((J41+J45)/(J42+J46)),"")</f>
        <v>9.2737450652211853E-2</v>
      </c>
      <c r="K49" s="345">
        <f t="shared" si="41"/>
        <v>9.1667195970457457E-2</v>
      </c>
      <c r="L49" s="345">
        <f t="shared" si="41"/>
        <v>9.0348428693874119E-2</v>
      </c>
      <c r="M49" s="345">
        <f t="shared" si="41"/>
        <v>8.9959430200434967E-2</v>
      </c>
      <c r="N49" s="345">
        <f t="shared" si="41"/>
        <v>8.9601074512200521E-2</v>
      </c>
      <c r="O49" s="345">
        <f t="shared" si="41"/>
        <v>8.9261165403417261E-2</v>
      </c>
      <c r="P49" s="345">
        <f t="shared" si="41"/>
        <v>8.8940227905790051E-2</v>
      </c>
      <c r="Q49" s="345">
        <f t="shared" si="41"/>
        <v>8.8650382443840756E-2</v>
      </c>
      <c r="R49" s="345">
        <f t="shared" si="41"/>
        <v>8.8381648736767071E-2</v>
      </c>
      <c r="S49" s="345">
        <f t="shared" si="41"/>
        <v>8.813235920270987E-2</v>
      </c>
      <c r="T49" s="345">
        <f t="shared" si="41"/>
        <v>8.7903055522787474E-2</v>
      </c>
      <c r="U49" s="345">
        <f t="shared" si="41"/>
        <v>8.7693436676123865E-2</v>
      </c>
      <c r="V49" s="345">
        <f t="shared" si="41"/>
        <v>8.7497844905061878E-2</v>
      </c>
      <c r="W49" s="345">
        <f t="shared" si="41"/>
        <v>8.7306802282478377E-2</v>
      </c>
      <c r="X49" s="345">
        <f t="shared" si="41"/>
        <v>8.7115913897563096E-2</v>
      </c>
      <c r="Y49" s="345">
        <f t="shared" si="41"/>
        <v>8.6929292244585329E-2</v>
      </c>
      <c r="Z49" s="345">
        <f t="shared" si="41"/>
        <v>8.675362839294963E-2</v>
      </c>
      <c r="AA49" s="345">
        <f t="shared" si="41"/>
        <v>8.6600683444138668E-2</v>
      </c>
      <c r="AB49" s="345">
        <f t="shared" si="41"/>
        <v>8.6476912149145241E-2</v>
      </c>
      <c r="AC49" s="345">
        <f t="shared" si="41"/>
        <v>8.6380043707572157E-2</v>
      </c>
      <c r="AD49" s="345">
        <f t="shared" si="41"/>
        <v>8.6310951512253445E-2</v>
      </c>
      <c r="AE49" s="345">
        <f t="shared" si="41"/>
        <v>8.6270468850576709E-2</v>
      </c>
      <c r="AF49" s="345">
        <f t="shared" si="41"/>
        <v>8.6257044246582246E-2</v>
      </c>
      <c r="AG49" s="345">
        <f t="shared" si="41"/>
        <v>8.625628396465404E-2</v>
      </c>
      <c r="AH49" s="345">
        <f t="shared" si="41"/>
        <v>8.6255750624396957E-2</v>
      </c>
      <c r="AI49" s="345">
        <f t="shared" si="41"/>
        <v>8.6255427417334218E-2</v>
      </c>
      <c r="AJ49" s="345">
        <f t="shared" si="41"/>
        <v>8.6255318625414412E-2</v>
      </c>
      <c r="AK49" s="345">
        <f t="shared" si="41"/>
        <v>8.6255318625414412E-2</v>
      </c>
      <c r="AL49" s="345">
        <f t="shared" si="41"/>
        <v>8.6255318625414412E-2</v>
      </c>
      <c r="AM49" s="345">
        <f t="shared" si="41"/>
        <v>8.6255318625414412E-2</v>
      </c>
      <c r="AN49" s="345">
        <f t="shared" si="41"/>
        <v>8.6255318625414412E-2</v>
      </c>
      <c r="AO49" s="345">
        <f t="shared" si="41"/>
        <v>8.6255318625414412E-2</v>
      </c>
      <c r="AP49" s="345">
        <f t="shared" si="41"/>
        <v>8.6255318625414412E-2</v>
      </c>
      <c r="AQ49" s="345">
        <f t="shared" si="41"/>
        <v>8.6255318625414412E-2</v>
      </c>
      <c r="AR49" s="345">
        <f t="shared" si="41"/>
        <v>9.1750075486146679E-2</v>
      </c>
      <c r="AS49" s="345">
        <f t="shared" si="41"/>
        <v>9.1750075486146679E-2</v>
      </c>
      <c r="AT49" s="345">
        <f t="shared" si="41"/>
        <v>9.1750075486146679E-2</v>
      </c>
      <c r="AU49" s="345">
        <f t="shared" si="41"/>
        <v>9.1750075486146679E-2</v>
      </c>
      <c r="AV49" s="345">
        <f t="shared" si="41"/>
        <v>9.1750075486146679E-2</v>
      </c>
      <c r="AW49" s="345">
        <f t="shared" si="41"/>
        <v>9.1750075486146679E-2</v>
      </c>
      <c r="AX49" s="345">
        <f t="shared" si="41"/>
        <v>9.1750075486146679E-2</v>
      </c>
      <c r="AY49" s="345">
        <f t="shared" si="41"/>
        <v>9.1750075486146679E-2</v>
      </c>
      <c r="AZ49" s="345">
        <f t="shared" si="41"/>
        <v>9.1750075486146679E-2</v>
      </c>
      <c r="BA49" s="345">
        <f t="shared" si="41"/>
        <v>9.1750075486146679E-2</v>
      </c>
      <c r="BB49" s="345">
        <f t="shared" si="41"/>
        <v>9.1750075486146679E-2</v>
      </c>
      <c r="BC49" s="345">
        <f t="shared" si="41"/>
        <v>9.1750075486146679E-2</v>
      </c>
    </row>
    <row r="50" spans="1:5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row>
    <row r="51" spans="1:57" s="53" customFormat="1">
      <c r="A51" s="50"/>
      <c r="B51" s="53" t="s">
        <v>73</v>
      </c>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s="261"/>
      <c r="BE51" s="261"/>
    </row>
    <row r="52" spans="1:57">
      <c r="B52" s="48" t="s">
        <v>74</v>
      </c>
      <c r="C52" s="64">
        <f>'Revenue Requirement'!C18</f>
        <v>-494884.6152455663</v>
      </c>
      <c r="D52" s="64">
        <f>'Revenue Requirement'!D18</f>
        <v>-5775517.0228235573</v>
      </c>
      <c r="E52" s="64">
        <f>'Revenue Requirement'!E18</f>
        <v>-2990464.9761160687</v>
      </c>
      <c r="F52" s="64">
        <f>'Revenue Requirement'!F18</f>
        <v>-2256855.4001743235</v>
      </c>
      <c r="G52" s="64">
        <f>'Revenue Requirement'!G18</f>
        <v>11256010.364410086</v>
      </c>
      <c r="H52" s="64">
        <f>'Revenue Requirement'!H18</f>
        <v>19726436.282865431</v>
      </c>
      <c r="I52" s="64">
        <f>'Revenue Requirement'!I18</f>
        <v>26613429.057260457</v>
      </c>
      <c r="J52" s="64">
        <f>'Revenue Requirement'!J18</f>
        <v>33162926.995948747</v>
      </c>
      <c r="K52" s="64">
        <f>'Revenue Requirement'!K18</f>
        <v>38583713.922234878</v>
      </c>
      <c r="L52" s="64">
        <f>'Revenue Requirement'!L18</f>
        <v>39272307.661486953</v>
      </c>
      <c r="M52" s="64">
        <f>'Revenue Requirement'!M18</f>
        <v>31832015.043654937</v>
      </c>
      <c r="N52" s="64">
        <f>'Revenue Requirement'!N18</f>
        <v>25436008.326912772</v>
      </c>
      <c r="O52" s="64">
        <f>'Revenue Requirement'!O18</f>
        <v>18943055.770521153</v>
      </c>
      <c r="P52" s="64">
        <f>'Revenue Requirement'!P18</f>
        <v>12143128.605807418</v>
      </c>
      <c r="Q52" s="64">
        <f>'Revenue Requirement'!Q18</f>
        <v>5249123.0139070218</v>
      </c>
      <c r="R52" s="64">
        <f>'Revenue Requirement'!R18</f>
        <v>-965890.28851602774</v>
      </c>
      <c r="S52" s="64">
        <f>'Revenue Requirement'!S18</f>
        <v>-8135105.0780737987</v>
      </c>
      <c r="T52" s="64">
        <f>'Revenue Requirement'!T18</f>
        <v>-14785725.75570545</v>
      </c>
      <c r="U52" s="64">
        <f>'Revenue Requirement'!U18</f>
        <v>-19719022.553153954</v>
      </c>
      <c r="V52" s="64">
        <f>'Revenue Requirement'!V18</f>
        <v>-23149152.020228747</v>
      </c>
      <c r="W52" s="64">
        <f>'Revenue Requirement'!W18</f>
        <v>-25315010.885427047</v>
      </c>
      <c r="X52" s="64">
        <f>'Revenue Requirement'!X18</f>
        <v>-27492264.484544296</v>
      </c>
      <c r="Y52" s="64">
        <f>'Revenue Requirement'!Y18</f>
        <v>30862028.297262274</v>
      </c>
      <c r="Z52" s="64">
        <f>'Revenue Requirement'!Z18</f>
        <v>27441056.732487187</v>
      </c>
      <c r="AA52" s="64">
        <f>'Revenue Requirement'!AA18</f>
        <v>21722850.898058183</v>
      </c>
      <c r="AB52" s="64">
        <f>'Revenue Requirement'!AB18</f>
        <v>17011419.2522319</v>
      </c>
      <c r="AC52" s="64">
        <f>'Revenue Requirement'!AC18</f>
        <v>12418765.841093043</v>
      </c>
      <c r="AD52" s="64">
        <f>'Revenue Requirement'!AD18</f>
        <v>7967048.1274385937</v>
      </c>
      <c r="AE52" s="64">
        <f>'Revenue Requirement'!AE18</f>
        <v>3660494.1821930772</v>
      </c>
      <c r="AF52" s="64">
        <f>'Revenue Requirement'!AF18</f>
        <v>135433.03214712325</v>
      </c>
      <c r="AG52" s="64">
        <f>'Revenue Requirement'!AG18</f>
        <v>95306.113005192587</v>
      </c>
      <c r="AH52" s="64">
        <f>'Revenue Requirement'!AH18</f>
        <v>62103.589091734815</v>
      </c>
      <c r="AI52" s="64">
        <f>'Revenue Requirement'!AI18</f>
        <v>30507.827095361645</v>
      </c>
      <c r="AJ52" s="64">
        <f>'Revenue Requirement'!AJ18</f>
        <v>4.4415650417080922E-9</v>
      </c>
      <c r="AK52" s="64">
        <f>'Revenue Requirement'!AK18</f>
        <v>4.4415650417080922E-9</v>
      </c>
      <c r="AL52" s="64">
        <f>'Revenue Requirement'!AL18</f>
        <v>4.4415650417080922E-9</v>
      </c>
      <c r="AM52" s="64">
        <f>'Revenue Requirement'!AM18</f>
        <v>4.4415650417080922E-9</v>
      </c>
      <c r="AN52" s="64">
        <f>'Revenue Requirement'!AN18</f>
        <v>4.4415650417080922E-9</v>
      </c>
      <c r="AO52" s="64">
        <f>'Revenue Requirement'!AO18</f>
        <v>4.4415650417080922E-9</v>
      </c>
      <c r="AP52" s="64">
        <f>'Revenue Requirement'!AP18</f>
        <v>4.4415650417080922E-9</v>
      </c>
      <c r="AQ52" s="64">
        <f>'Revenue Requirement'!AQ18</f>
        <v>4.4415650417080922E-9</v>
      </c>
      <c r="AR52" s="64">
        <f>'Revenue Requirement'!AR18</f>
        <v>4.4415650417080922E-9</v>
      </c>
      <c r="AS52" s="64">
        <f>'Revenue Requirement'!AS18</f>
        <v>4.4415650417080922E-9</v>
      </c>
      <c r="AT52" s="64">
        <f>'Revenue Requirement'!AT18</f>
        <v>4.4415650417080922E-9</v>
      </c>
      <c r="AU52" s="64">
        <f>'Revenue Requirement'!AU18</f>
        <v>4.4415650417080922E-9</v>
      </c>
      <c r="AV52" s="64">
        <f>'Revenue Requirement'!AV18</f>
        <v>4.4415650417080922E-9</v>
      </c>
      <c r="AW52" s="64">
        <f>'Revenue Requirement'!AW18</f>
        <v>4.4415650417080922E-9</v>
      </c>
      <c r="AX52" s="64">
        <f>'Revenue Requirement'!AX18</f>
        <v>4.4415650417080922E-9</v>
      </c>
      <c r="AY52" s="64">
        <f>'Revenue Requirement'!AY18</f>
        <v>4.4415650417080922E-9</v>
      </c>
      <c r="AZ52" s="64">
        <f>'Revenue Requirement'!AZ18</f>
        <v>4.4415650417080922E-9</v>
      </c>
      <c r="BA52" s="64">
        <f>'Revenue Requirement'!BA18</f>
        <v>4.4415650417080922E-9</v>
      </c>
      <c r="BB52" s="64">
        <f>'Revenue Requirement'!BB18</f>
        <v>4.4415650417080922E-9</v>
      </c>
      <c r="BC52" s="64">
        <f>'Revenue Requirement'!BC18</f>
        <v>4.4415650417080922E-9</v>
      </c>
    </row>
    <row r="53" spans="1:57">
      <c r="B53" s="48" t="s">
        <v>75</v>
      </c>
      <c r="D53" s="47">
        <f>C52</f>
        <v>-494884.6152455663</v>
      </c>
      <c r="E53" s="47">
        <f>D52</f>
        <v>-5775517.0228235573</v>
      </c>
      <c r="F53" s="47">
        <f t="shared" ref="F53:AO54" si="42">E52</f>
        <v>-2990464.9761160687</v>
      </c>
      <c r="G53" s="47">
        <f t="shared" si="42"/>
        <v>-2256855.4001743235</v>
      </c>
      <c r="H53" s="47">
        <f t="shared" si="42"/>
        <v>11256010.364410086</v>
      </c>
      <c r="I53" s="47">
        <f t="shared" si="42"/>
        <v>19726436.282865431</v>
      </c>
      <c r="J53" s="47">
        <f t="shared" si="42"/>
        <v>26613429.057260457</v>
      </c>
      <c r="K53" s="47">
        <f t="shared" si="42"/>
        <v>33162926.995948747</v>
      </c>
      <c r="L53" s="47">
        <f t="shared" si="42"/>
        <v>38583713.922234878</v>
      </c>
      <c r="M53" s="47">
        <f t="shared" si="42"/>
        <v>39272307.661486953</v>
      </c>
      <c r="N53" s="47">
        <f t="shared" si="42"/>
        <v>31832015.043654937</v>
      </c>
      <c r="O53" s="47">
        <f t="shared" si="42"/>
        <v>25436008.326912772</v>
      </c>
      <c r="P53" s="47">
        <f t="shared" si="42"/>
        <v>18943055.770521153</v>
      </c>
      <c r="Q53" s="47">
        <f t="shared" si="42"/>
        <v>12143128.605807418</v>
      </c>
      <c r="R53" s="47">
        <f t="shared" si="42"/>
        <v>5249123.0139070218</v>
      </c>
      <c r="S53" s="47">
        <f t="shared" si="42"/>
        <v>-965890.28851602774</v>
      </c>
      <c r="T53" s="47">
        <f t="shared" si="42"/>
        <v>-8135105.0780737987</v>
      </c>
      <c r="U53" s="47">
        <f t="shared" si="42"/>
        <v>-14785725.75570545</v>
      </c>
      <c r="V53" s="47">
        <f t="shared" si="42"/>
        <v>-19719022.553153954</v>
      </c>
      <c r="W53" s="47">
        <f t="shared" si="42"/>
        <v>-23149152.020228747</v>
      </c>
      <c r="X53" s="47">
        <f t="shared" si="42"/>
        <v>-25315010.885427047</v>
      </c>
      <c r="Y53" s="47">
        <f t="shared" si="42"/>
        <v>-27492264.484544296</v>
      </c>
      <c r="Z53" s="47">
        <f t="shared" si="42"/>
        <v>30862028.297262274</v>
      </c>
      <c r="AA53" s="47">
        <f t="shared" si="42"/>
        <v>27441056.732487187</v>
      </c>
      <c r="AB53" s="47">
        <f t="shared" si="42"/>
        <v>21722850.898058183</v>
      </c>
      <c r="AC53" s="47">
        <f t="shared" si="42"/>
        <v>17011419.2522319</v>
      </c>
      <c r="AD53" s="47">
        <f t="shared" si="42"/>
        <v>12418765.841093043</v>
      </c>
      <c r="AE53" s="47">
        <f t="shared" si="42"/>
        <v>7967048.1274385937</v>
      </c>
      <c r="AF53" s="47">
        <f t="shared" si="42"/>
        <v>3660494.1821930772</v>
      </c>
      <c r="AG53" s="47">
        <f t="shared" si="42"/>
        <v>135433.03214712325</v>
      </c>
      <c r="AH53" s="47">
        <f t="shared" si="42"/>
        <v>95306.113005192587</v>
      </c>
      <c r="AI53" s="47">
        <f t="shared" si="42"/>
        <v>62103.589091734815</v>
      </c>
      <c r="AJ53" s="47">
        <f t="shared" si="42"/>
        <v>30507.827095361645</v>
      </c>
      <c r="AK53" s="47">
        <f t="shared" si="42"/>
        <v>4.4415650417080922E-9</v>
      </c>
      <c r="AL53" s="47">
        <f t="shared" si="42"/>
        <v>4.4415650417080922E-9</v>
      </c>
      <c r="AM53" s="47">
        <f t="shared" si="42"/>
        <v>4.4415650417080922E-9</v>
      </c>
      <c r="AN53" s="47">
        <f t="shared" si="42"/>
        <v>4.4415650417080922E-9</v>
      </c>
      <c r="AO53" s="47">
        <f t="shared" si="42"/>
        <v>4.4415650417080922E-9</v>
      </c>
      <c r="AP53" s="47">
        <f t="shared" ref="AP53:AP54" si="43">AO52</f>
        <v>4.4415650417080922E-9</v>
      </c>
      <c r="AQ53" s="47">
        <f t="shared" ref="AQ53:AQ54" si="44">AP52</f>
        <v>4.4415650417080922E-9</v>
      </c>
      <c r="AR53" s="47">
        <f t="shared" ref="AR53:AR54" si="45">AQ52</f>
        <v>4.4415650417080922E-9</v>
      </c>
      <c r="AS53" s="47">
        <f t="shared" ref="AS53:AS54" si="46">AR52</f>
        <v>4.4415650417080922E-9</v>
      </c>
      <c r="AT53" s="47">
        <f t="shared" ref="AT53:AT54" si="47">AS52</f>
        <v>4.4415650417080922E-9</v>
      </c>
      <c r="AU53" s="47">
        <f t="shared" ref="AU53:AU54" si="48">AT52</f>
        <v>4.4415650417080922E-9</v>
      </c>
      <c r="AV53" s="47">
        <f t="shared" ref="AV53:AV54" si="49">AU52</f>
        <v>4.4415650417080922E-9</v>
      </c>
      <c r="AW53" s="47">
        <f t="shared" ref="AW53:AW54" si="50">AV52</f>
        <v>4.4415650417080922E-9</v>
      </c>
      <c r="AX53" s="47">
        <f t="shared" ref="AX53:AX54" si="51">AW52</f>
        <v>4.4415650417080922E-9</v>
      </c>
      <c r="AY53" s="47">
        <f t="shared" ref="AY53:AY54" si="52">AX52</f>
        <v>4.4415650417080922E-9</v>
      </c>
      <c r="AZ53" s="47">
        <f t="shared" ref="AZ53:AZ54" si="53">AY52</f>
        <v>4.4415650417080922E-9</v>
      </c>
      <c r="BA53" s="47">
        <f t="shared" ref="BA53:BA54" si="54">AZ52</f>
        <v>4.4415650417080922E-9</v>
      </c>
      <c r="BB53" s="47">
        <f t="shared" ref="BB53:BC54" si="55">BA52</f>
        <v>4.4415650417080922E-9</v>
      </c>
      <c r="BC53" s="47">
        <f t="shared" si="55"/>
        <v>4.4415650417080922E-9</v>
      </c>
    </row>
    <row r="54" spans="1:57">
      <c r="B54" s="48" t="s">
        <v>76</v>
      </c>
      <c r="E54" s="47">
        <f>D53</f>
        <v>-494884.6152455663</v>
      </c>
      <c r="F54" s="47">
        <f t="shared" si="42"/>
        <v>-5775517.0228235573</v>
      </c>
      <c r="G54" s="47">
        <f t="shared" si="42"/>
        <v>-2990464.9761160687</v>
      </c>
      <c r="H54" s="47">
        <f t="shared" si="42"/>
        <v>-2256855.4001743235</v>
      </c>
      <c r="I54" s="47">
        <f t="shared" si="42"/>
        <v>11256010.364410086</v>
      </c>
      <c r="J54" s="47">
        <f t="shared" si="42"/>
        <v>19726436.282865431</v>
      </c>
      <c r="K54" s="47">
        <f t="shared" si="42"/>
        <v>26613429.057260457</v>
      </c>
      <c r="L54" s="47">
        <f t="shared" si="42"/>
        <v>33162926.995948747</v>
      </c>
      <c r="M54" s="47">
        <f t="shared" si="42"/>
        <v>38583713.922234878</v>
      </c>
      <c r="N54" s="47">
        <f t="shared" si="42"/>
        <v>39272307.661486953</v>
      </c>
      <c r="O54" s="47">
        <f t="shared" si="42"/>
        <v>31832015.043654937</v>
      </c>
      <c r="P54" s="47">
        <f t="shared" si="42"/>
        <v>25436008.326912772</v>
      </c>
      <c r="Q54" s="47">
        <f t="shared" si="42"/>
        <v>18943055.770521153</v>
      </c>
      <c r="R54" s="47">
        <f t="shared" si="42"/>
        <v>12143128.605807418</v>
      </c>
      <c r="S54" s="47">
        <f t="shared" si="42"/>
        <v>5249123.0139070218</v>
      </c>
      <c r="T54" s="47">
        <f t="shared" si="42"/>
        <v>-965890.28851602774</v>
      </c>
      <c r="U54" s="47">
        <f t="shared" si="42"/>
        <v>-8135105.0780737987</v>
      </c>
      <c r="V54" s="47">
        <f t="shared" si="42"/>
        <v>-14785725.75570545</v>
      </c>
      <c r="W54" s="47">
        <f t="shared" si="42"/>
        <v>-19719022.553153954</v>
      </c>
      <c r="X54" s="47">
        <f t="shared" si="42"/>
        <v>-23149152.020228747</v>
      </c>
      <c r="Y54" s="47">
        <f t="shared" si="42"/>
        <v>-25315010.885427047</v>
      </c>
      <c r="Z54" s="47">
        <f t="shared" si="42"/>
        <v>-27492264.484544296</v>
      </c>
      <c r="AA54" s="47">
        <f t="shared" si="42"/>
        <v>30862028.297262274</v>
      </c>
      <c r="AB54" s="47">
        <f t="shared" si="42"/>
        <v>27441056.732487187</v>
      </c>
      <c r="AC54" s="47">
        <f t="shared" si="42"/>
        <v>21722850.898058183</v>
      </c>
      <c r="AD54" s="47">
        <f t="shared" si="42"/>
        <v>17011419.2522319</v>
      </c>
      <c r="AE54" s="47">
        <f t="shared" si="42"/>
        <v>12418765.841093043</v>
      </c>
      <c r="AF54" s="47">
        <f t="shared" si="42"/>
        <v>7967048.1274385937</v>
      </c>
      <c r="AG54" s="47">
        <f t="shared" si="42"/>
        <v>3660494.1821930772</v>
      </c>
      <c r="AH54" s="47">
        <f t="shared" si="42"/>
        <v>135433.03214712325</v>
      </c>
      <c r="AI54" s="47">
        <f t="shared" si="42"/>
        <v>95306.113005192587</v>
      </c>
      <c r="AJ54" s="47">
        <f t="shared" si="42"/>
        <v>62103.589091734815</v>
      </c>
      <c r="AK54" s="47">
        <f t="shared" si="42"/>
        <v>30507.827095361645</v>
      </c>
      <c r="AL54" s="47">
        <f t="shared" si="42"/>
        <v>4.4415650417080922E-9</v>
      </c>
      <c r="AM54" s="47">
        <f t="shared" si="42"/>
        <v>4.4415650417080922E-9</v>
      </c>
      <c r="AN54" s="47">
        <f t="shared" si="42"/>
        <v>4.4415650417080922E-9</v>
      </c>
      <c r="AO54" s="47">
        <f t="shared" si="42"/>
        <v>4.4415650417080922E-9</v>
      </c>
      <c r="AP54" s="47">
        <f t="shared" si="43"/>
        <v>4.4415650417080922E-9</v>
      </c>
      <c r="AQ54" s="47">
        <f t="shared" si="44"/>
        <v>4.4415650417080922E-9</v>
      </c>
      <c r="AR54" s="47">
        <f t="shared" si="45"/>
        <v>4.4415650417080922E-9</v>
      </c>
      <c r="AS54" s="47">
        <f t="shared" si="46"/>
        <v>4.4415650417080922E-9</v>
      </c>
      <c r="AT54" s="47">
        <f t="shared" si="47"/>
        <v>4.4415650417080922E-9</v>
      </c>
      <c r="AU54" s="47">
        <f t="shared" si="48"/>
        <v>4.4415650417080922E-9</v>
      </c>
      <c r="AV54" s="47">
        <f t="shared" si="49"/>
        <v>4.4415650417080922E-9</v>
      </c>
      <c r="AW54" s="47">
        <f t="shared" si="50"/>
        <v>4.4415650417080922E-9</v>
      </c>
      <c r="AX54" s="47">
        <f t="shared" si="51"/>
        <v>4.4415650417080922E-9</v>
      </c>
      <c r="AY54" s="47">
        <f t="shared" si="52"/>
        <v>4.4415650417080922E-9</v>
      </c>
      <c r="AZ54" s="47">
        <f t="shared" si="53"/>
        <v>4.4415650417080922E-9</v>
      </c>
      <c r="BA54" s="47">
        <f t="shared" si="54"/>
        <v>4.4415650417080922E-9</v>
      </c>
      <c r="BB54" s="47">
        <f t="shared" si="55"/>
        <v>4.4415650417080922E-9</v>
      </c>
      <c r="BC54" s="47">
        <f t="shared" si="55"/>
        <v>4.4415650417080922E-9</v>
      </c>
    </row>
    <row r="56" spans="1:57">
      <c r="B56" s="226" t="s">
        <v>54</v>
      </c>
      <c r="C56" s="229">
        <f>IF(Rate_Case_Lag__yrs=0,'Income Statement (Results)'!C52,IF(Rate_Case_Lag__yrs=1,'Income Statement (Results)'!C53,'Income Statement (Results)'!C54))</f>
        <v>-494884.6152455663</v>
      </c>
      <c r="D56" s="229">
        <f>IF(Rate_Case_Lag__yrs=0,'Income Statement (Results)'!D52,IF(Rate_Case_Lag__yrs=1,'Income Statement (Results)'!D53,'Income Statement (Results)'!D54))</f>
        <v>-5775517.0228235573</v>
      </c>
      <c r="E56" s="229">
        <f>IF(Rate_Case_Lag__yrs=0,'Income Statement (Results)'!E52,IF(Rate_Case_Lag__yrs=1,'Income Statement (Results)'!E53,'Income Statement (Results)'!E54))</f>
        <v>-2990464.9761160687</v>
      </c>
      <c r="F56" s="229">
        <f>IF(Rate_Case_Lag__yrs=0,'Income Statement (Results)'!F52,IF(Rate_Case_Lag__yrs=1,'Income Statement (Results)'!F53,'Income Statement (Results)'!F54))</f>
        <v>-2256855.4001743235</v>
      </c>
      <c r="G56" s="229">
        <f>IF(Rate_Case_Lag__yrs=0,'Income Statement (Results)'!G52,IF(Rate_Case_Lag__yrs=1,'Income Statement (Results)'!G53,'Income Statement (Results)'!G54))</f>
        <v>11256010.364410086</v>
      </c>
      <c r="H56" s="229">
        <f>IF(Rate_Case_Lag__yrs=0,'Income Statement (Results)'!H52,IF(Rate_Case_Lag__yrs=1,'Income Statement (Results)'!H53,'Income Statement (Results)'!H54))</f>
        <v>19726436.282865431</v>
      </c>
      <c r="I56" s="229">
        <f>IF(Rate_Case_Lag__yrs=0,'Income Statement (Results)'!I52,IF(Rate_Case_Lag__yrs=1,'Income Statement (Results)'!I53,'Income Statement (Results)'!I54))</f>
        <v>26613429.057260457</v>
      </c>
      <c r="J56" s="229">
        <f>IF(Rate_Case_Lag__yrs=0,'Income Statement (Results)'!J52,IF(Rate_Case_Lag__yrs=1,'Income Statement (Results)'!J53,'Income Statement (Results)'!J54))</f>
        <v>33162926.995948747</v>
      </c>
      <c r="K56" s="229">
        <f>IF(Rate_Case_Lag__yrs=0,'Income Statement (Results)'!K52,IF(Rate_Case_Lag__yrs=1,'Income Statement (Results)'!K53,'Income Statement (Results)'!K54))</f>
        <v>38583713.922234878</v>
      </c>
      <c r="L56" s="229">
        <f>IF(Rate_Case_Lag__yrs=0,'Income Statement (Results)'!L52,IF(Rate_Case_Lag__yrs=1,'Income Statement (Results)'!L53,'Income Statement (Results)'!L54))</f>
        <v>39272307.661486953</v>
      </c>
      <c r="M56" s="229">
        <f>IF(Rate_Case_Lag__yrs=0,'Income Statement (Results)'!M52,IF(Rate_Case_Lag__yrs=1,'Income Statement (Results)'!M53,'Income Statement (Results)'!M54))</f>
        <v>31832015.043654937</v>
      </c>
      <c r="N56" s="229">
        <f>IF(Rate_Case_Lag__yrs=0,'Income Statement (Results)'!N52,IF(Rate_Case_Lag__yrs=1,'Income Statement (Results)'!N53,'Income Statement (Results)'!N54))</f>
        <v>25436008.326912772</v>
      </c>
      <c r="O56" s="229">
        <f>IF(Rate_Case_Lag__yrs=0,'Income Statement (Results)'!O52,IF(Rate_Case_Lag__yrs=1,'Income Statement (Results)'!O53,'Income Statement (Results)'!O54))</f>
        <v>18943055.770521153</v>
      </c>
      <c r="P56" s="229">
        <f>IF(Rate_Case_Lag__yrs=0,'Income Statement (Results)'!P52,IF(Rate_Case_Lag__yrs=1,'Income Statement (Results)'!P53,'Income Statement (Results)'!P54))</f>
        <v>12143128.605807418</v>
      </c>
      <c r="Q56" s="229">
        <f>IF(Rate_Case_Lag__yrs=0,'Income Statement (Results)'!Q52,IF(Rate_Case_Lag__yrs=1,'Income Statement (Results)'!Q53,'Income Statement (Results)'!Q54))</f>
        <v>5249123.0139070218</v>
      </c>
      <c r="R56" s="229">
        <f>IF(Rate_Case_Lag__yrs=0,'Income Statement (Results)'!R52,IF(Rate_Case_Lag__yrs=1,'Income Statement (Results)'!R53,'Income Statement (Results)'!R54))</f>
        <v>-965890.28851602774</v>
      </c>
      <c r="S56" s="229">
        <f>IF(Rate_Case_Lag__yrs=0,'Income Statement (Results)'!S52,IF(Rate_Case_Lag__yrs=1,'Income Statement (Results)'!S53,'Income Statement (Results)'!S54))</f>
        <v>-8135105.0780737987</v>
      </c>
      <c r="T56" s="229">
        <f>IF(Rate_Case_Lag__yrs=0,'Income Statement (Results)'!T52,IF(Rate_Case_Lag__yrs=1,'Income Statement (Results)'!T53,'Income Statement (Results)'!T54))</f>
        <v>-14785725.75570545</v>
      </c>
      <c r="U56" s="229">
        <f>IF(Rate_Case_Lag__yrs=0,'Income Statement (Results)'!U52,IF(Rate_Case_Lag__yrs=1,'Income Statement (Results)'!U53,'Income Statement (Results)'!U54))</f>
        <v>-19719022.553153954</v>
      </c>
      <c r="V56" s="229">
        <f>IF(Rate_Case_Lag__yrs=0,'Income Statement (Results)'!V52,IF(Rate_Case_Lag__yrs=1,'Income Statement (Results)'!V53,'Income Statement (Results)'!V54))</f>
        <v>-23149152.020228747</v>
      </c>
      <c r="W56" s="229">
        <f>IF(Rate_Case_Lag__yrs=0,'Income Statement (Results)'!W52,IF(Rate_Case_Lag__yrs=1,'Income Statement (Results)'!W53,'Income Statement (Results)'!W54))</f>
        <v>-25315010.885427047</v>
      </c>
      <c r="X56" s="229">
        <f>IF(Rate_Case_Lag__yrs=0,'Income Statement (Results)'!X52,IF(Rate_Case_Lag__yrs=1,'Income Statement (Results)'!X53,'Income Statement (Results)'!X54))</f>
        <v>-27492264.484544296</v>
      </c>
      <c r="Y56" s="229">
        <f>IF(Rate_Case_Lag__yrs=0,'Income Statement (Results)'!Y52,IF(Rate_Case_Lag__yrs=1,'Income Statement (Results)'!Y53,'Income Statement (Results)'!Y54))</f>
        <v>30862028.297262274</v>
      </c>
      <c r="Z56" s="229">
        <f>IF(Rate_Case_Lag__yrs=0,'Income Statement (Results)'!Z52,IF(Rate_Case_Lag__yrs=1,'Income Statement (Results)'!Z53,'Income Statement (Results)'!Z54))</f>
        <v>27441056.732487187</v>
      </c>
      <c r="AA56" s="229">
        <f>IF(Rate_Case_Lag__yrs=0,'Income Statement (Results)'!AA52,IF(Rate_Case_Lag__yrs=1,'Income Statement (Results)'!AA53,'Income Statement (Results)'!AA54))</f>
        <v>21722850.898058183</v>
      </c>
      <c r="AB56" s="229">
        <f>IF(Rate_Case_Lag__yrs=0,'Income Statement (Results)'!AB52,IF(Rate_Case_Lag__yrs=1,'Income Statement (Results)'!AB53,'Income Statement (Results)'!AB54))</f>
        <v>17011419.2522319</v>
      </c>
      <c r="AC56" s="229">
        <f>IF(Rate_Case_Lag__yrs=0,'Income Statement (Results)'!AC52,IF(Rate_Case_Lag__yrs=1,'Income Statement (Results)'!AC53,'Income Statement (Results)'!AC54))</f>
        <v>12418765.841093043</v>
      </c>
      <c r="AD56" s="229">
        <f>IF(Rate_Case_Lag__yrs=0,'Income Statement (Results)'!AD52,IF(Rate_Case_Lag__yrs=1,'Income Statement (Results)'!AD53,'Income Statement (Results)'!AD54))</f>
        <v>7967048.1274385937</v>
      </c>
      <c r="AE56" s="229">
        <f>IF(Rate_Case_Lag__yrs=0,'Income Statement (Results)'!AE52,IF(Rate_Case_Lag__yrs=1,'Income Statement (Results)'!AE53,'Income Statement (Results)'!AE54))</f>
        <v>3660494.1821930772</v>
      </c>
      <c r="AF56" s="229">
        <f>IF(Rate_Case_Lag__yrs=0,'Income Statement (Results)'!AF52,IF(Rate_Case_Lag__yrs=1,'Income Statement (Results)'!AF53,'Income Statement (Results)'!AF54))</f>
        <v>135433.03214712325</v>
      </c>
      <c r="AG56" s="229">
        <f>IF(Rate_Case_Lag__yrs=0,'Income Statement (Results)'!AG52,IF(Rate_Case_Lag__yrs=1,'Income Statement (Results)'!AG53,'Income Statement (Results)'!AG54))</f>
        <v>95306.113005192587</v>
      </c>
      <c r="AH56" s="229">
        <f>IF(Rate_Case_Lag__yrs=0,'Income Statement (Results)'!AH52,IF(Rate_Case_Lag__yrs=1,'Income Statement (Results)'!AH53,'Income Statement (Results)'!AH54))</f>
        <v>62103.589091734815</v>
      </c>
      <c r="AI56" s="229">
        <f>IF(Rate_Case_Lag__yrs=0,'Income Statement (Results)'!AI52,IF(Rate_Case_Lag__yrs=1,'Income Statement (Results)'!AI53,'Income Statement (Results)'!AI54))</f>
        <v>30507.827095361645</v>
      </c>
      <c r="AJ56" s="229">
        <f>IF(Rate_Case_Lag__yrs=0,'Income Statement (Results)'!AJ52,IF(Rate_Case_Lag__yrs=1,'Income Statement (Results)'!AJ53,'Income Statement (Results)'!AJ54))</f>
        <v>4.4415650417080922E-9</v>
      </c>
      <c r="AK56" s="229">
        <f>IF(Rate_Case_Lag__yrs=0,'Income Statement (Results)'!AK52,IF(Rate_Case_Lag__yrs=1,'Income Statement (Results)'!AK53,'Income Statement (Results)'!AK54))</f>
        <v>4.4415650417080922E-9</v>
      </c>
      <c r="AL56" s="229">
        <f>IF(Rate_Case_Lag__yrs=0,'Income Statement (Results)'!AL52,IF(Rate_Case_Lag__yrs=1,'Income Statement (Results)'!AL53,'Income Statement (Results)'!AL54))</f>
        <v>4.4415650417080922E-9</v>
      </c>
      <c r="AM56" s="229">
        <f>IF(Rate_Case_Lag__yrs=0,'Income Statement (Results)'!AM52,IF(Rate_Case_Lag__yrs=1,'Income Statement (Results)'!AM53,'Income Statement (Results)'!AM54))</f>
        <v>4.4415650417080922E-9</v>
      </c>
      <c r="AN56" s="229">
        <f>IF(Rate_Case_Lag__yrs=0,'Income Statement (Results)'!AN52,IF(Rate_Case_Lag__yrs=1,'Income Statement (Results)'!AN53,'Income Statement (Results)'!AN54))</f>
        <v>4.4415650417080922E-9</v>
      </c>
      <c r="AO56" s="229">
        <f>IF(Rate_Case_Lag__yrs=0,'Income Statement (Results)'!AO52,IF(Rate_Case_Lag__yrs=1,'Income Statement (Results)'!AO53,'Income Statement (Results)'!AO54))</f>
        <v>4.4415650417080922E-9</v>
      </c>
      <c r="AP56" s="229">
        <f>IF(Rate_Case_Lag__yrs=0,'Income Statement (Results)'!AP52,IF(Rate_Case_Lag__yrs=1,'Income Statement (Results)'!AP53,'Income Statement (Results)'!AP54))</f>
        <v>4.4415650417080922E-9</v>
      </c>
      <c r="AQ56" s="229">
        <f>IF(Rate_Case_Lag__yrs=0,'Income Statement (Results)'!AQ52,IF(Rate_Case_Lag__yrs=1,'Income Statement (Results)'!AQ53,'Income Statement (Results)'!AQ54))</f>
        <v>4.4415650417080922E-9</v>
      </c>
      <c r="AR56" s="229">
        <f>IF(Rate_Case_Lag__yrs=0,'Income Statement (Results)'!AR52,IF(Rate_Case_Lag__yrs=1,'Income Statement (Results)'!AR53,'Income Statement (Results)'!AR54))</f>
        <v>4.4415650417080922E-9</v>
      </c>
      <c r="AS56" s="229">
        <f>IF(Rate_Case_Lag__yrs=0,'Income Statement (Results)'!AS52,IF(Rate_Case_Lag__yrs=1,'Income Statement (Results)'!AS53,'Income Statement (Results)'!AS54))</f>
        <v>4.4415650417080922E-9</v>
      </c>
      <c r="AT56" s="229">
        <f>IF(Rate_Case_Lag__yrs=0,'Income Statement (Results)'!AT52,IF(Rate_Case_Lag__yrs=1,'Income Statement (Results)'!AT53,'Income Statement (Results)'!AT54))</f>
        <v>4.4415650417080922E-9</v>
      </c>
      <c r="AU56" s="229">
        <f>IF(Rate_Case_Lag__yrs=0,'Income Statement (Results)'!AU52,IF(Rate_Case_Lag__yrs=1,'Income Statement (Results)'!AU53,'Income Statement (Results)'!AU54))</f>
        <v>4.4415650417080922E-9</v>
      </c>
      <c r="AV56" s="229">
        <f>IF(Rate_Case_Lag__yrs=0,'Income Statement (Results)'!AV52,IF(Rate_Case_Lag__yrs=1,'Income Statement (Results)'!AV53,'Income Statement (Results)'!AV54))</f>
        <v>4.4415650417080922E-9</v>
      </c>
      <c r="AW56" s="229">
        <f>IF(Rate_Case_Lag__yrs=0,'Income Statement (Results)'!AW52,IF(Rate_Case_Lag__yrs=1,'Income Statement (Results)'!AW53,'Income Statement (Results)'!AW54))</f>
        <v>4.4415650417080922E-9</v>
      </c>
      <c r="AX56" s="229">
        <f>IF(Rate_Case_Lag__yrs=0,'Income Statement (Results)'!AX52,IF(Rate_Case_Lag__yrs=1,'Income Statement (Results)'!AX53,'Income Statement (Results)'!AX54))</f>
        <v>4.4415650417080922E-9</v>
      </c>
      <c r="AY56" s="229">
        <f>IF(Rate_Case_Lag__yrs=0,'Income Statement (Results)'!AY52,IF(Rate_Case_Lag__yrs=1,'Income Statement (Results)'!AY53,'Income Statement (Results)'!AY54))</f>
        <v>4.4415650417080922E-9</v>
      </c>
      <c r="AZ56" s="229">
        <f>IF(Rate_Case_Lag__yrs=0,'Income Statement (Results)'!AZ52,IF(Rate_Case_Lag__yrs=1,'Income Statement (Results)'!AZ53,'Income Statement (Results)'!AZ54))</f>
        <v>4.4415650417080922E-9</v>
      </c>
      <c r="BA56" s="229">
        <f>IF(Rate_Case_Lag__yrs=0,'Income Statement (Results)'!BA52,IF(Rate_Case_Lag__yrs=1,'Income Statement (Results)'!BA53,'Income Statement (Results)'!BA54))</f>
        <v>4.4415650417080922E-9</v>
      </c>
      <c r="BB56" s="229">
        <f>IF(Rate_Case_Lag__yrs=0,'Income Statement (Results)'!BB52,IF(Rate_Case_Lag__yrs=1,'Income Statement (Results)'!BB53,'Income Statement (Results)'!BB54))</f>
        <v>4.4415650417080922E-9</v>
      </c>
      <c r="BC56" s="229">
        <f>IF(Rate_Case_Lag__yrs=0,'Income Statement (Results)'!BC52,IF(Rate_Case_Lag__yrs=1,'Income Statement (Results)'!BC53,'Income Statement (Results)'!BC54))</f>
        <v>4.4415650417080922E-9</v>
      </c>
    </row>
    <row r="60" spans="1:57">
      <c r="D60" s="47"/>
      <c r="E60" s="47"/>
      <c r="F60" s="47"/>
      <c r="G60" s="47"/>
      <c r="H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row>
    <row r="61" spans="1:57">
      <c r="D61" s="47"/>
      <c r="E61" s="47"/>
      <c r="F61" s="47"/>
      <c r="G61" s="47"/>
      <c r="H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row>
    <row r="62" spans="1:57" s="68" customFormat="1">
      <c r="A62" s="49"/>
      <c r="D62" s="69"/>
      <c r="E62" s="69"/>
      <c r="F62" s="69"/>
      <c r="G62" s="69"/>
      <c r="H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BD62" s="55"/>
      <c r="BE62" s="55"/>
    </row>
    <row r="63" spans="1:57" s="68" customFormat="1">
      <c r="A63" s="49"/>
      <c r="D63" s="69"/>
      <c r="E63" s="69"/>
      <c r="F63" s="69"/>
      <c r="G63" s="69"/>
      <c r="H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BD63" s="55"/>
      <c r="BE63" s="55"/>
    </row>
    <row r="64" spans="1:57" s="68" customFormat="1">
      <c r="A64" s="49"/>
      <c r="BD64" s="55"/>
      <c r="BE64" s="55"/>
    </row>
    <row r="65" spans="1:57" s="68" customFormat="1">
      <c r="A65" s="51"/>
      <c r="BD65" s="55"/>
      <c r="BE65" s="55"/>
    </row>
    <row r="66" spans="1:57" s="68" customFormat="1">
      <c r="A66" s="49"/>
      <c r="BD66" s="55"/>
      <c r="BE66" s="55"/>
    </row>
    <row r="67" spans="1:57" s="68" customFormat="1" outlineLevel="1">
      <c r="A67" s="49"/>
      <c r="BD67" s="55"/>
      <c r="BE67" s="55"/>
    </row>
    <row r="68" spans="1:57" s="68" customFormat="1" outlineLevel="1">
      <c r="A68" s="49"/>
      <c r="BD68" s="55"/>
      <c r="BE68" s="55"/>
    </row>
    <row r="69" spans="1:57" s="68" customFormat="1">
      <c r="A69" s="49"/>
      <c r="BD69" s="55"/>
      <c r="BE69" s="55"/>
    </row>
    <row r="70" spans="1:57" s="68" customFormat="1">
      <c r="A70" s="49"/>
      <c r="BD70" s="55"/>
      <c r="BE70" s="55"/>
    </row>
    <row r="71" spans="1:57" s="68" customFormat="1">
      <c r="A71" s="49"/>
      <c r="BD71" s="55"/>
      <c r="BE71" s="55"/>
    </row>
    <row r="72" spans="1:57" s="68" customFormat="1" outlineLevel="1">
      <c r="A72" s="49"/>
      <c r="BD72" s="55"/>
      <c r="BE72" s="55"/>
    </row>
    <row r="73" spans="1:57" s="68" customFormat="1" outlineLevel="1">
      <c r="A73" s="49"/>
      <c r="BD73" s="55"/>
      <c r="BE73" s="55"/>
    </row>
    <row r="74" spans="1:57" s="68" customFormat="1" outlineLevel="1">
      <c r="A74" s="49"/>
      <c r="BD74" s="55"/>
      <c r="BE74" s="55"/>
    </row>
    <row r="75" spans="1:57" s="68" customFormat="1" outlineLevel="1">
      <c r="A75" s="49"/>
      <c r="BD75" s="55"/>
      <c r="BE75" s="55"/>
    </row>
    <row r="76" spans="1:57" s="68" customFormat="1" outlineLevel="1">
      <c r="A76" s="49"/>
      <c r="BD76" s="55"/>
      <c r="BE76" s="55"/>
    </row>
    <row r="77" spans="1:57" s="68" customFormat="1">
      <c r="A77" s="49"/>
      <c r="BD77" s="55"/>
      <c r="BE77" s="55"/>
    </row>
    <row r="78" spans="1:57" s="68" customFormat="1">
      <c r="A78" s="49"/>
      <c r="BD78" s="55"/>
      <c r="BE78" s="55"/>
    </row>
    <row r="79" spans="1:57" s="68" customFormat="1">
      <c r="A79" s="49"/>
      <c r="BD79" s="55"/>
      <c r="BE79" s="55"/>
    </row>
    <row r="80" spans="1:57" s="68" customFormat="1">
      <c r="A80" s="49"/>
      <c r="BD80" s="55"/>
      <c r="BE80" s="55"/>
    </row>
    <row r="81" spans="1:57" s="68" customFormat="1">
      <c r="A81" s="49"/>
      <c r="BD81" s="55"/>
      <c r="BE81" s="55"/>
    </row>
    <row r="82" spans="1:57" s="68" customFormat="1">
      <c r="A82" s="49"/>
      <c r="BD82" s="55"/>
      <c r="BE82" s="55"/>
    </row>
    <row r="83" spans="1:57" s="68" customFormat="1">
      <c r="A83" s="49"/>
      <c r="BD83" s="55"/>
      <c r="BE83" s="55"/>
    </row>
    <row r="84" spans="1:57" s="68" customFormat="1">
      <c r="A84" s="49"/>
      <c r="BD84" s="55"/>
      <c r="BE84" s="55"/>
    </row>
    <row r="85" spans="1:57" s="68" customFormat="1">
      <c r="A85" s="49"/>
      <c r="BD85" s="55"/>
      <c r="BE85" s="55"/>
    </row>
    <row r="86" spans="1:57" s="68" customFormat="1" hidden="1" outlineLevel="1">
      <c r="A86" s="49"/>
      <c r="BD86" s="55"/>
      <c r="BE86" s="55"/>
    </row>
    <row r="87" spans="1:57" s="68" customFormat="1" hidden="1" outlineLevel="1">
      <c r="A87" s="49"/>
      <c r="BD87" s="55"/>
      <c r="BE87" s="55"/>
    </row>
    <row r="88" spans="1:57" s="68" customFormat="1" hidden="1" outlineLevel="1">
      <c r="A88" s="49"/>
      <c r="BD88" s="55"/>
      <c r="BE88" s="55"/>
    </row>
    <row r="89" spans="1:57" s="68" customFormat="1" hidden="1" outlineLevel="1">
      <c r="A89" s="49"/>
      <c r="BD89" s="55"/>
      <c r="BE89" s="55"/>
    </row>
    <row r="90" spans="1:57" s="68" customFormat="1" collapsed="1">
      <c r="A90" s="49"/>
      <c r="BD90" s="55"/>
      <c r="BE90" s="55"/>
    </row>
    <row r="91" spans="1:57" s="68" customFormat="1">
      <c r="A91" s="49"/>
      <c r="BD91" s="55"/>
      <c r="BE91" s="55"/>
    </row>
    <row r="92" spans="1:57" s="68" customFormat="1">
      <c r="A92" s="49"/>
      <c r="BD92" s="55"/>
      <c r="BE92" s="55"/>
    </row>
  </sheetData>
  <pageMargins left="0.75" right="0.75" top="1.27" bottom="1" header="0.5" footer="0.5"/>
  <pageSetup scale="90" orientation="landscape" verticalDpi="300" r:id="rId1"/>
  <headerFooter alignWithMargins="0">
    <oddHeader>&amp;L&amp;"PSE Logo,Regular"&amp;60&amp;G&amp;R&amp;16
Income Statement</oddHeader>
    <oddFooter>&amp;L&amp;12&amp;F&amp;R&amp;8Page &amp;P
&amp;D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2:BC57"/>
  <sheetViews>
    <sheetView showGridLines="0" zoomScale="120" zoomScaleNormal="120" workbookViewId="0">
      <selection activeCell="C12" sqref="C12"/>
    </sheetView>
  </sheetViews>
  <sheetFormatPr defaultColWidth="11.453125" defaultRowHeight="14.5" outlineLevelCol="1"/>
  <cols>
    <col min="1" max="1" width="2" style="49" customWidth="1"/>
    <col min="2" max="2" width="51.1796875" style="48" bestFit="1" customWidth="1"/>
    <col min="3" max="4" width="11.453125" style="48" bestFit="1" customWidth="1"/>
    <col min="5" max="12" width="11.81640625" style="48" bestFit="1" customWidth="1"/>
    <col min="13" max="13" width="11.81640625" style="48" bestFit="1" customWidth="1" outlineLevel="1"/>
    <col min="14" max="16" width="11.453125" style="48" bestFit="1" customWidth="1" outlineLevel="1"/>
    <col min="17" max="17" width="11.453125" style="48" bestFit="1" customWidth="1"/>
    <col min="18" max="19" width="11.453125" style="48" bestFit="1" customWidth="1" outlineLevel="1"/>
    <col min="20" max="21" width="11.26953125" style="48" bestFit="1" customWidth="1" outlineLevel="1"/>
    <col min="22" max="42" width="11.26953125" style="48" bestFit="1" customWidth="1"/>
    <col min="43" max="55" width="11.453125" style="48"/>
    <col min="56" max="16384" width="11.453125" style="55"/>
  </cols>
  <sheetData>
    <row r="2" spans="1:55">
      <c r="B2" s="276" t="str">
        <f>Project_Description</f>
        <v xml:space="preserve">AMI Model </v>
      </c>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c r="B3" s="57" t="s">
        <v>131</v>
      </c>
      <c r="C3" s="56"/>
      <c r="D3" s="56"/>
      <c r="E3" s="56"/>
      <c r="F3" s="56"/>
      <c r="G3" s="56"/>
      <c r="H3" s="56"/>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row>
    <row r="4" spans="1:55" s="261" customFormat="1">
      <c r="A4" s="50"/>
      <c r="B4" s="70"/>
      <c r="C4" s="260">
        <f>Start_Year</f>
        <v>2016</v>
      </c>
      <c r="D4" s="260">
        <f t="shared" ref="D4:AP4" si="0">C4+1</f>
        <v>2017</v>
      </c>
      <c r="E4" s="260">
        <f t="shared" si="0"/>
        <v>2018</v>
      </c>
      <c r="F4" s="260">
        <f t="shared" si="0"/>
        <v>2019</v>
      </c>
      <c r="G4" s="260">
        <f t="shared" si="0"/>
        <v>2020</v>
      </c>
      <c r="H4" s="260">
        <f t="shared" si="0"/>
        <v>2021</v>
      </c>
      <c r="I4" s="260">
        <f t="shared" si="0"/>
        <v>2022</v>
      </c>
      <c r="J4" s="260">
        <f t="shared" si="0"/>
        <v>2023</v>
      </c>
      <c r="K4" s="260">
        <f t="shared" si="0"/>
        <v>2024</v>
      </c>
      <c r="L4" s="260">
        <f t="shared" si="0"/>
        <v>2025</v>
      </c>
      <c r="M4" s="260">
        <f t="shared" si="0"/>
        <v>2026</v>
      </c>
      <c r="N4" s="260">
        <f t="shared" si="0"/>
        <v>2027</v>
      </c>
      <c r="O4" s="260">
        <f t="shared" si="0"/>
        <v>2028</v>
      </c>
      <c r="P4" s="260">
        <f t="shared" si="0"/>
        <v>2029</v>
      </c>
      <c r="Q4" s="260">
        <f t="shared" si="0"/>
        <v>2030</v>
      </c>
      <c r="R4" s="260">
        <f t="shared" si="0"/>
        <v>2031</v>
      </c>
      <c r="S4" s="260">
        <f t="shared" si="0"/>
        <v>2032</v>
      </c>
      <c r="T4" s="260">
        <f t="shared" si="0"/>
        <v>2033</v>
      </c>
      <c r="U4" s="260">
        <f t="shared" si="0"/>
        <v>2034</v>
      </c>
      <c r="V4" s="260">
        <f>U4+1</f>
        <v>2035</v>
      </c>
      <c r="W4" s="260">
        <f t="shared" si="0"/>
        <v>2036</v>
      </c>
      <c r="X4" s="260">
        <f t="shared" si="0"/>
        <v>2037</v>
      </c>
      <c r="Y4" s="260">
        <f t="shared" si="0"/>
        <v>2038</v>
      </c>
      <c r="Z4" s="260">
        <f t="shared" si="0"/>
        <v>2039</v>
      </c>
      <c r="AA4" s="260">
        <f t="shared" si="0"/>
        <v>2040</v>
      </c>
      <c r="AB4" s="260">
        <f t="shared" si="0"/>
        <v>2041</v>
      </c>
      <c r="AC4" s="260">
        <f t="shared" si="0"/>
        <v>2042</v>
      </c>
      <c r="AD4" s="260">
        <f t="shared" si="0"/>
        <v>2043</v>
      </c>
      <c r="AE4" s="260">
        <f t="shared" si="0"/>
        <v>2044</v>
      </c>
      <c r="AF4" s="260">
        <f t="shared" si="0"/>
        <v>2045</v>
      </c>
      <c r="AG4" s="260">
        <f t="shared" si="0"/>
        <v>2046</v>
      </c>
      <c r="AH4" s="260">
        <f t="shared" si="0"/>
        <v>2047</v>
      </c>
      <c r="AI4" s="260">
        <f t="shared" si="0"/>
        <v>2048</v>
      </c>
      <c r="AJ4" s="260">
        <f t="shared" si="0"/>
        <v>2049</v>
      </c>
      <c r="AK4" s="260">
        <f t="shared" si="0"/>
        <v>2050</v>
      </c>
      <c r="AL4" s="260">
        <f t="shared" si="0"/>
        <v>2051</v>
      </c>
      <c r="AM4" s="260">
        <f t="shared" si="0"/>
        <v>2052</v>
      </c>
      <c r="AN4" s="260">
        <f t="shared" si="0"/>
        <v>2053</v>
      </c>
      <c r="AO4" s="260">
        <f t="shared" si="0"/>
        <v>2054</v>
      </c>
      <c r="AP4" s="260">
        <f t="shared" si="0"/>
        <v>2055</v>
      </c>
      <c r="AQ4" s="260">
        <f t="shared" ref="AQ4" si="1">AP4+1</f>
        <v>2056</v>
      </c>
      <c r="AR4" s="260">
        <f t="shared" ref="AR4" si="2">AQ4+1</f>
        <v>2057</v>
      </c>
      <c r="AS4" s="260">
        <f t="shared" ref="AS4" si="3">AR4+1</f>
        <v>2058</v>
      </c>
      <c r="AT4" s="260">
        <f t="shared" ref="AT4" si="4">AS4+1</f>
        <v>2059</v>
      </c>
      <c r="AU4" s="260">
        <f t="shared" ref="AU4" si="5">AT4+1</f>
        <v>2060</v>
      </c>
      <c r="AV4" s="260">
        <f t="shared" ref="AV4" si="6">AU4+1</f>
        <v>2061</v>
      </c>
      <c r="AW4" s="260">
        <f t="shared" ref="AW4" si="7">AV4+1</f>
        <v>2062</v>
      </c>
      <c r="AX4" s="260">
        <f t="shared" ref="AX4" si="8">AW4+1</f>
        <v>2063</v>
      </c>
      <c r="AY4" s="260">
        <f t="shared" ref="AY4" si="9">AX4+1</f>
        <v>2064</v>
      </c>
      <c r="AZ4" s="260">
        <f t="shared" ref="AZ4" si="10">AY4+1</f>
        <v>2065</v>
      </c>
      <c r="BA4" s="260">
        <f t="shared" ref="BA4" si="11">AZ4+1</f>
        <v>2066</v>
      </c>
      <c r="BB4" s="260">
        <f t="shared" ref="BB4" si="12">BA4+1</f>
        <v>2067</v>
      </c>
      <c r="BC4" s="260">
        <f t="shared" ref="BC4" si="13">BB4+1</f>
        <v>2068</v>
      </c>
    </row>
    <row r="5" spans="1:55">
      <c r="B5" s="53" t="s">
        <v>126</v>
      </c>
    </row>
    <row r="6" spans="1:55">
      <c r="B6" s="48" t="s">
        <v>81</v>
      </c>
      <c r="C6" s="159">
        <f>'Income Statement (Results)'!C20</f>
        <v>0</v>
      </c>
      <c r="D6" s="71">
        <f>'Income Statement (Results)'!D20</f>
        <v>799745.12418240774</v>
      </c>
      <c r="E6" s="71">
        <f>'Income Statement (Results)'!E20</f>
        <v>2827087.7514805086</v>
      </c>
      <c r="F6" s="71">
        <f>'Income Statement (Results)'!F20</f>
        <v>6955797.4453841168</v>
      </c>
      <c r="G6" s="71">
        <f>'Income Statement (Results)'!G20</f>
        <v>11945690.311252777</v>
      </c>
      <c r="H6" s="71">
        <f>'Income Statement (Results)'!H20</f>
        <v>16019825.46253092</v>
      </c>
      <c r="I6" s="71">
        <f>'Income Statement (Results)'!I20</f>
        <v>19889397.935970783</v>
      </c>
      <c r="J6" s="71">
        <f>'Income Statement (Results)'!J20</f>
        <v>23567568.956629157</v>
      </c>
      <c r="K6" s="71">
        <f>'Income Statement (Results)'!K20</f>
        <v>26602461.09831316</v>
      </c>
      <c r="L6" s="71">
        <f>'Income Statement (Results)'!L20</f>
        <v>26544648.239830669</v>
      </c>
      <c r="M6" s="71">
        <f>'Income Statement (Results)'!M20</f>
        <v>24050853.754842866</v>
      </c>
      <c r="N6" s="71">
        <f>'Income Statement (Results)'!N20</f>
        <v>21744004.644152712</v>
      </c>
      <c r="O6" s="71">
        <f>'Income Statement (Results)'!O20</f>
        <v>19591870.358841412</v>
      </c>
      <c r="P6" s="71">
        <f>'Income Statement (Results)'!P20</f>
        <v>17565697.322853051</v>
      </c>
      <c r="Q6" s="71">
        <f>'Income Statement (Results)'!Q20</f>
        <v>15669418.110658821</v>
      </c>
      <c r="R6" s="71">
        <f>'Income Statement (Results)'!R20</f>
        <v>13911260.025613733</v>
      </c>
      <c r="S6" s="71">
        <f>'Income Statement (Results)'!S20</f>
        <v>12280313.11317607</v>
      </c>
      <c r="T6" s="71">
        <f>'Income Statement (Results)'!T20</f>
        <v>10780121.257170584</v>
      </c>
      <c r="U6" s="71">
        <f>'Income Statement (Results)'!U20</f>
        <v>9408715.0645772889</v>
      </c>
      <c r="V6" s="71">
        <f>'Income Statement (Results)'!V20</f>
        <v>8129079.3337063529</v>
      </c>
      <c r="W6" s="71">
        <f>'Income Statement (Results)'!W20</f>
        <v>6879205.8617817424</v>
      </c>
      <c r="X6" s="71">
        <f>'Income Statement (Results)'!X20</f>
        <v>5630341.4713242315</v>
      </c>
      <c r="Y6" s="71">
        <f>'Income Statement (Results)'!Y20</f>
        <v>4409391.663426239</v>
      </c>
      <c r="Z6" s="71">
        <f>'Income Statement (Results)'!Z20</f>
        <v>3260131.9580973759</v>
      </c>
      <c r="AA6" s="71">
        <f>'Income Statement (Results)'!AA20</f>
        <v>2259507.9528436363</v>
      </c>
      <c r="AB6" s="71">
        <f>'Income Statement (Results)'!AB20</f>
        <v>1449749.0827755779</v>
      </c>
      <c r="AC6" s="71">
        <f>'Income Statement (Results)'!AC20</f>
        <v>815998.90832980536</v>
      </c>
      <c r="AD6" s="71">
        <f>'Income Statement (Results)'!AD20</f>
        <v>363971.49749292526</v>
      </c>
      <c r="AE6" s="71">
        <f>'Income Statement (Results)'!AE20</f>
        <v>99118.533173201606</v>
      </c>
      <c r="AF6" s="71">
        <f>'Income Statement (Results)'!AF20</f>
        <v>11289.669766415129</v>
      </c>
      <c r="AG6" s="71">
        <f>'Income Statement (Results)'!AG20</f>
        <v>6315.6163306367671</v>
      </c>
      <c r="AH6" s="71">
        <f>'Income Statement (Results)'!AH20</f>
        <v>2826.3015911144903</v>
      </c>
      <c r="AI6" s="71">
        <f>'Income Statement (Results)'!AI20</f>
        <v>711.75810240861028</v>
      </c>
      <c r="AJ6" s="71">
        <f>'Income Statement (Results)'!AJ20</f>
        <v>3.1988870123313978E-9</v>
      </c>
      <c r="AK6" s="71">
        <f>'Income Statement (Results)'!AK20</f>
        <v>3.1988870123313978E-9</v>
      </c>
      <c r="AL6" s="71">
        <f>'Income Statement (Results)'!AL20</f>
        <v>3.1988870123313978E-9</v>
      </c>
      <c r="AM6" s="71">
        <f>'Income Statement (Results)'!AM20</f>
        <v>3.1988870123313978E-9</v>
      </c>
      <c r="AN6" s="71">
        <f>'Income Statement (Results)'!AN20</f>
        <v>3.1988870123313978E-9</v>
      </c>
      <c r="AO6" s="71">
        <f>'Income Statement (Results)'!AO20</f>
        <v>3.1988870123313978E-9</v>
      </c>
      <c r="AP6" s="71">
        <f>'Income Statement (Results)'!AP20</f>
        <v>3.1988870123313978E-9</v>
      </c>
      <c r="AQ6" s="71">
        <f>'Income Statement (Results)'!AQ20</f>
        <v>3.1988870123313978E-9</v>
      </c>
      <c r="AR6" s="71">
        <f>'Income Statement (Results)'!AR20</f>
        <v>3.1988870123313978E-9</v>
      </c>
      <c r="AS6" s="71">
        <f>'Income Statement (Results)'!AS20</f>
        <v>3.1988870123313978E-9</v>
      </c>
      <c r="AT6" s="71">
        <f>'Income Statement (Results)'!AT20</f>
        <v>3.1988870123313978E-9</v>
      </c>
      <c r="AU6" s="71">
        <f>'Income Statement (Results)'!AU20</f>
        <v>3.1988870123313978E-9</v>
      </c>
      <c r="AV6" s="71">
        <f>'Income Statement (Results)'!AV20</f>
        <v>3.1988870123313978E-9</v>
      </c>
      <c r="AW6" s="71">
        <f>'Income Statement (Results)'!AW20</f>
        <v>3.1988870123313978E-9</v>
      </c>
      <c r="AX6" s="71">
        <f>'Income Statement (Results)'!AX20</f>
        <v>3.1988870123313978E-9</v>
      </c>
      <c r="AY6" s="71">
        <f>'Income Statement (Results)'!AY20</f>
        <v>3.1988870123313978E-9</v>
      </c>
      <c r="AZ6" s="71">
        <f>'Income Statement (Results)'!AZ20</f>
        <v>3.1988870123313978E-9</v>
      </c>
      <c r="BA6" s="71">
        <f>'Income Statement (Results)'!BA20</f>
        <v>3.1988870123313978E-9</v>
      </c>
      <c r="BB6" s="71">
        <f>'Income Statement (Results)'!BB20</f>
        <v>3.1988870123313978E-9</v>
      </c>
      <c r="BC6" s="71">
        <f>'Income Statement (Results)'!BC20</f>
        <v>3.1988870123313978E-9</v>
      </c>
    </row>
    <row r="7" spans="1:55">
      <c r="B7" s="48" t="s">
        <v>82</v>
      </c>
      <c r="C7" s="71">
        <f>'Income Statement (Results)'!C12</f>
        <v>0</v>
      </c>
      <c r="D7" s="71">
        <f>'Income Statement (Results)'!D12</f>
        <v>0</v>
      </c>
      <c r="E7" s="71">
        <f>'Income Statement (Results)'!E12</f>
        <v>1066590.4222895724</v>
      </c>
      <c r="F7" s="71">
        <f>'Income Statement (Results)'!F12</f>
        <v>2809345.4672995768</v>
      </c>
      <c r="G7" s="71">
        <f>'Income Statement (Results)'!G12</f>
        <v>6942548.082309708</v>
      </c>
      <c r="H7" s="71">
        <f>'Income Statement (Results)'!H12</f>
        <v>10367515.105178883</v>
      </c>
      <c r="I7" s="71">
        <f>'Income Statement (Results)'!I12</f>
        <v>13912409.69669489</v>
      </c>
      <c r="J7" s="71">
        <f>'Income Statement (Results)'!J12</f>
        <v>17563651.125956379</v>
      </c>
      <c r="K7" s="71">
        <f>'Income Statement (Results)'!K12</f>
        <v>21324429.798095711</v>
      </c>
      <c r="L7" s="71">
        <f>'Income Statement (Results)'!L12</f>
        <v>24573722.31256374</v>
      </c>
      <c r="M7" s="71">
        <f>'Income Statement (Results)'!M12</f>
        <v>24605441.327340674</v>
      </c>
      <c r="N7" s="71">
        <f>'Income Statement (Results)'!N12</f>
        <v>24632517.267039396</v>
      </c>
      <c r="O7" s="71">
        <f>'Income Statement (Results)'!O12</f>
        <v>24659881.622666612</v>
      </c>
      <c r="P7" s="71">
        <f>'Income Statement (Results)'!P12</f>
        <v>24688066.908962645</v>
      </c>
      <c r="Q7" s="71">
        <f>'Income Statement (Results)'!Q12</f>
        <v>24688066.908962645</v>
      </c>
      <c r="R7" s="71">
        <f>'Income Statement (Results)'!R12</f>
        <v>24688066.908962645</v>
      </c>
      <c r="S7" s="71">
        <f>'Income Statement (Results)'!S12</f>
        <v>24688066.908962645</v>
      </c>
      <c r="T7" s="71">
        <f>'Income Statement (Results)'!T12</f>
        <v>24688066.908962645</v>
      </c>
      <c r="U7" s="71">
        <f>'Income Statement (Results)'!U12</f>
        <v>24688066.908962645</v>
      </c>
      <c r="V7" s="71">
        <f>'Income Statement (Results)'!V12</f>
        <v>24688066.908962645</v>
      </c>
      <c r="W7" s="71">
        <f>'Income Statement (Results)'!W12</f>
        <v>24688066.908962645</v>
      </c>
      <c r="X7" s="71">
        <f>'Income Statement (Results)'!X12</f>
        <v>24688066.908962645</v>
      </c>
      <c r="Y7" s="71">
        <f>'Income Statement (Results)'!Y12</f>
        <v>23621476.486673072</v>
      </c>
      <c r="Z7" s="71">
        <f>'Income Statement (Results)'!Z12</f>
        <v>21878721.441663064</v>
      </c>
      <c r="AA7" s="71">
        <f>'Income Statement (Results)'!AA12</f>
        <v>17745518.826652937</v>
      </c>
      <c r="AB7" s="71">
        <f>'Income Statement (Results)'!AB12</f>
        <v>14320551.803783761</v>
      </c>
      <c r="AC7" s="71">
        <f>'Income Statement (Results)'!AC12</f>
        <v>10775657.212267755</v>
      </c>
      <c r="AD7" s="71">
        <f>'Income Statement (Results)'!AD12</f>
        <v>7124415.7830062695</v>
      </c>
      <c r="AE7" s="71">
        <f>'Income Statement (Results)'!AE12</f>
        <v>3363637.1108669383</v>
      </c>
      <c r="AF7" s="71">
        <f>'Income Statement (Results)'!AF12</f>
        <v>114344.59639890766</v>
      </c>
      <c r="AG7" s="71">
        <f>'Income Statement (Results)'!AG12</f>
        <v>82625.581621972946</v>
      </c>
      <c r="AH7" s="71">
        <f>'Income Statement (Results)'!AH12</f>
        <v>55549.641923248957</v>
      </c>
      <c r="AI7" s="71">
        <f>'Income Statement (Results)'!AI12</f>
        <v>28185.286296032715</v>
      </c>
      <c r="AJ7" s="71">
        <f>'Income Statement (Results)'!AJ12</f>
        <v>0</v>
      </c>
      <c r="AK7" s="71">
        <f>'Income Statement (Results)'!AK12</f>
        <v>0</v>
      </c>
      <c r="AL7" s="71">
        <f>'Income Statement (Results)'!AL12</f>
        <v>0</v>
      </c>
      <c r="AM7" s="71">
        <f>'Income Statement (Results)'!AM12</f>
        <v>0</v>
      </c>
      <c r="AN7" s="71">
        <f>'Income Statement (Results)'!AN12</f>
        <v>0</v>
      </c>
      <c r="AO7" s="71">
        <f>'Income Statement (Results)'!AO12</f>
        <v>0</v>
      </c>
      <c r="AP7" s="71">
        <f>'Income Statement (Results)'!AP12</f>
        <v>0</v>
      </c>
      <c r="AQ7" s="71">
        <f>'Income Statement (Results)'!AQ12</f>
        <v>0</v>
      </c>
      <c r="AR7" s="71">
        <f>'Income Statement (Results)'!AR12</f>
        <v>0</v>
      </c>
      <c r="AS7" s="71">
        <f>'Income Statement (Results)'!AS12</f>
        <v>0</v>
      </c>
      <c r="AT7" s="71">
        <f>'Income Statement (Results)'!AT12</f>
        <v>0</v>
      </c>
      <c r="AU7" s="71">
        <f>'Income Statement (Results)'!AU12</f>
        <v>0</v>
      </c>
      <c r="AV7" s="71">
        <f>'Income Statement (Results)'!AV12</f>
        <v>0</v>
      </c>
      <c r="AW7" s="71">
        <f>'Income Statement (Results)'!AW12</f>
        <v>0</v>
      </c>
      <c r="AX7" s="71">
        <f>'Income Statement (Results)'!AX12</f>
        <v>0</v>
      </c>
      <c r="AY7" s="71">
        <f>'Income Statement (Results)'!AY12</f>
        <v>0</v>
      </c>
      <c r="AZ7" s="71">
        <f>'Income Statement (Results)'!AZ12</f>
        <v>0</v>
      </c>
      <c r="BA7" s="71">
        <f>'Income Statement (Results)'!BA12</f>
        <v>0</v>
      </c>
      <c r="BB7" s="71">
        <f>'Income Statement (Results)'!BB12</f>
        <v>0</v>
      </c>
      <c r="BC7" s="71">
        <f>'Income Statement (Results)'!BC12</f>
        <v>0</v>
      </c>
    </row>
    <row r="8" spans="1:55">
      <c r="B8" s="48" t="s">
        <v>83</v>
      </c>
      <c r="C8" s="71">
        <f>'Income Statement (Results)'!C17</f>
        <v>0</v>
      </c>
      <c r="D8" s="71">
        <f>'Income Statement (Results)'!D17</f>
        <v>746613.29560270067</v>
      </c>
      <c r="E8" s="71">
        <f>'Income Statement (Results)'!E17</f>
        <v>2190525.8157905135</v>
      </c>
      <c r="F8" s="71">
        <f>'Income Statement (Results)'!F17</f>
        <v>5180965.4193327334</v>
      </c>
      <c r="G8" s="71">
        <f>'Income Statement (Results)'!G17</f>
        <v>7792215.984017184</v>
      </c>
      <c r="H8" s="71">
        <f>'Income Statement (Results)'!H17</f>
        <v>9427959.0935174804</v>
      </c>
      <c r="I8" s="71">
        <f>'Income Statement (Results)'!I17</f>
        <v>10613223.324965106</v>
      </c>
      <c r="J8" s="71">
        <f>'Income Statement (Results)'!J17</f>
        <v>11476119.600883113</v>
      </c>
      <c r="K8" s="71">
        <f>'Income Statement (Results)'!K17</f>
        <v>11720026.731388012</v>
      </c>
      <c r="L8" s="71">
        <f>'Income Statement (Results)'!L17</f>
        <v>9490137.0566184074</v>
      </c>
      <c r="M8" s="71">
        <f>'Income Statement (Results)'!M17</f>
        <v>6696106.5071149757</v>
      </c>
      <c r="N8" s="71">
        <f>'Income Statement (Results)'!N17</f>
        <v>4532332.1021795664</v>
      </c>
      <c r="O8" s="71">
        <f>'Income Statement (Results)'!O17</f>
        <v>2681540.8085310077</v>
      </c>
      <c r="P8" s="71">
        <f>'Income Statement (Results)'!P17</f>
        <v>687291.27510196669</v>
      </c>
      <c r="Q8" s="71">
        <f>'Income Statement (Results)'!Q17</f>
        <v>-1253777.541664127</v>
      </c>
      <c r="R8" s="71">
        <f>'Income Statement (Results)'!R17</f>
        <v>-2867904.3375452352</v>
      </c>
      <c r="S8" s="71">
        <f>'Income Statement (Results)'!S17</f>
        <v>-4528154.257727447</v>
      </c>
      <c r="T8" s="71">
        <f>'Income Statement (Results)'!T17</f>
        <v>-6233499.5404945072</v>
      </c>
      <c r="U8" s="71">
        <f>'Income Statement (Results)'!U17</f>
        <v>-7843057.8860511165</v>
      </c>
      <c r="V8" s="71">
        <f>'Income Statement (Results)'!V17</f>
        <v>-8595643.1865832079</v>
      </c>
      <c r="W8" s="71">
        <f>'Income Statement (Results)'!W17</f>
        <v>-8609129.3380610161</v>
      </c>
      <c r="X8" s="71">
        <f>'Income Statement (Results)'!X17</f>
        <v>-8621616.6352417003</v>
      </c>
      <c r="Y8" s="71">
        <f>'Income Statement (Results)'!Y17</f>
        <v>-8261051.7421061359</v>
      </c>
      <c r="Z8" s="71">
        <f>'Income Statement (Results)'!Z17</f>
        <v>-7657552.5045820717</v>
      </c>
      <c r="AA8" s="71">
        <f>'Income Statement (Results)'!AA17</f>
        <v>-6210931.5893285275</v>
      </c>
      <c r="AB8" s="71">
        <f>'Income Statement (Results)'!AB17</f>
        <v>-5012193.1313243164</v>
      </c>
      <c r="AC8" s="71">
        <f>'Income Statement (Results)'!AC17</f>
        <v>-3771480.0242937137</v>
      </c>
      <c r="AD8" s="71">
        <f>'Income Statement (Results)'!AD17</f>
        <v>-2493545.5240521943</v>
      </c>
      <c r="AE8" s="71">
        <f>'Income Statement (Results)'!AE17</f>
        <v>-1177272.9888034284</v>
      </c>
      <c r="AF8" s="71">
        <f>'Income Statement (Results)'!AF17</f>
        <v>-40020.608739617674</v>
      </c>
      <c r="AG8" s="71">
        <f>'Income Statement (Results)'!AG17</f>
        <v>-28918.953567690529</v>
      </c>
      <c r="AH8" s="71">
        <f>'Income Statement (Results)'!AH17</f>
        <v>-19442.374673137132</v>
      </c>
      <c r="AI8" s="71">
        <f>'Income Statement (Results)'!AI17</f>
        <v>-9864.8502036114496</v>
      </c>
      <c r="AJ8" s="71">
        <f>'Income Statement (Results)'!AJ17</f>
        <v>0</v>
      </c>
      <c r="AK8" s="71">
        <f>'Income Statement (Results)'!AK17</f>
        <v>0</v>
      </c>
      <c r="AL8" s="71">
        <f>'Income Statement (Results)'!AL17</f>
        <v>0</v>
      </c>
      <c r="AM8" s="71">
        <f>'Income Statement (Results)'!AM17</f>
        <v>0</v>
      </c>
      <c r="AN8" s="71">
        <f>'Income Statement (Results)'!AN17</f>
        <v>0</v>
      </c>
      <c r="AO8" s="71">
        <f>'Income Statement (Results)'!AO17</f>
        <v>0</v>
      </c>
      <c r="AP8" s="71">
        <f>'Income Statement (Results)'!AP17</f>
        <v>0</v>
      </c>
      <c r="AQ8" s="71">
        <f>'Income Statement (Results)'!AQ17</f>
        <v>0</v>
      </c>
      <c r="AR8" s="71">
        <f>'Income Statement (Results)'!AR17</f>
        <v>0</v>
      </c>
      <c r="AS8" s="71">
        <f>'Income Statement (Results)'!AS17</f>
        <v>0</v>
      </c>
      <c r="AT8" s="71">
        <f>'Income Statement (Results)'!AT17</f>
        <v>0</v>
      </c>
      <c r="AU8" s="71">
        <f>'Income Statement (Results)'!AU17</f>
        <v>0</v>
      </c>
      <c r="AV8" s="71">
        <f>'Income Statement (Results)'!AV17</f>
        <v>0</v>
      </c>
      <c r="AW8" s="71">
        <f>'Income Statement (Results)'!AW17</f>
        <v>0</v>
      </c>
      <c r="AX8" s="71">
        <f>'Income Statement (Results)'!AX17</f>
        <v>0</v>
      </c>
      <c r="AY8" s="71">
        <f>'Income Statement (Results)'!AY17</f>
        <v>0</v>
      </c>
      <c r="AZ8" s="71">
        <f>'Income Statement (Results)'!AZ17</f>
        <v>0</v>
      </c>
      <c r="BA8" s="71">
        <f>'Income Statement (Results)'!BA17</f>
        <v>0</v>
      </c>
      <c r="BB8" s="71">
        <f>'Income Statement (Results)'!BB17</f>
        <v>0</v>
      </c>
      <c r="BC8" s="71">
        <f>'Income Statement (Results)'!BC17</f>
        <v>0</v>
      </c>
    </row>
    <row r="9" spans="1:55">
      <c r="B9" s="48" t="s">
        <v>84</v>
      </c>
      <c r="C9" s="71">
        <f>'Income Statement (Results)'!C24*FIT_Tax_Rate</f>
        <v>0</v>
      </c>
      <c r="D9" s="71">
        <f>'Income Statement (Results)'!D24*FIT_Tax_Rate</f>
        <v>110593.96094438905</v>
      </c>
      <c r="E9" s="71">
        <f>'Income Statement (Results)'!E24*FIT_Tax_Rate</f>
        <v>390948.09448601777</v>
      </c>
      <c r="F9" s="71">
        <f>'Income Statement (Results)'!F24*FIT_Tax_Rate</f>
        <v>961892.94282766397</v>
      </c>
      <c r="G9" s="71">
        <f>'Income Statement (Results)'!G24*FIT_Tax_Rate</f>
        <v>1651927.8052330222</v>
      </c>
      <c r="H9" s="71">
        <f>'Income Statement (Results)'!H24*FIT_Tax_Rate</f>
        <v>2215325.7306198725</v>
      </c>
      <c r="I9" s="71">
        <f>'Income Statement (Results)'!I24*FIT_Tax_Rate</f>
        <v>2750435.3975110496</v>
      </c>
      <c r="J9" s="71">
        <f>'Income Statement (Results)'!J24*FIT_Tax_Rate</f>
        <v>3259076.8257677546</v>
      </c>
      <c r="K9" s="71">
        <f>'Income Statement (Results)'!K24*FIT_Tax_Rate</f>
        <v>3678761.463834119</v>
      </c>
      <c r="L9" s="71">
        <f>'Income Statement (Results)'!L24*FIT_Tax_Rate</f>
        <v>3670766.7254859079</v>
      </c>
      <c r="M9" s="71">
        <f>'Income Statement (Results)'!M24*FIT_Tax_Rate</f>
        <v>3325908.593142773</v>
      </c>
      <c r="N9" s="71">
        <f>'Income Statement (Results)'!N24*FIT_Tax_Rate</f>
        <v>3006902.4838988027</v>
      </c>
      <c r="O9" s="71">
        <f>'Income Statement (Results)'!O24*FIT_Tax_Rate</f>
        <v>2709291.3476757179</v>
      </c>
      <c r="P9" s="71">
        <f>'Income Statement (Results)'!P24*FIT_Tax_Rate</f>
        <v>2429098.952832731</v>
      </c>
      <c r="Q9" s="71">
        <f>'Income Statement (Results)'!Q24*FIT_Tax_Rate</f>
        <v>2166869.1213630326</v>
      </c>
      <c r="R9" s="71">
        <f>'Income Statement (Results)'!R24*FIT_Tax_Rate</f>
        <v>1923739.5783222814</v>
      </c>
      <c r="S9" s="71">
        <f>'Income Statement (Results)'!S24*FIT_Tax_Rate</f>
        <v>1698201.6241885801</v>
      </c>
      <c r="T9" s="71">
        <f>'Income Statement (Results)'!T24*FIT_Tax_Rate</f>
        <v>1490745.330282724</v>
      </c>
      <c r="U9" s="71">
        <f>'Income Statement (Results)'!U24*FIT_Tax_Rate</f>
        <v>1301098.3561200364</v>
      </c>
      <c r="V9" s="71">
        <f>'Income Statement (Results)'!V24*FIT_Tax_Rate</f>
        <v>1124141.9986959603</v>
      </c>
      <c r="W9" s="71">
        <f>'Income Statement (Results)'!W24*FIT_Tax_Rate</f>
        <v>951301.36014780775</v>
      </c>
      <c r="X9" s="71">
        <f>'Income Statement (Results)'!X24*FIT_Tax_Rate</f>
        <v>778600.26395257283</v>
      </c>
      <c r="Y9" s="71">
        <f>'Income Statement (Results)'!Y24*FIT_Tax_Rate</f>
        <v>609759.37791682105</v>
      </c>
      <c r="Z9" s="71">
        <f>'Income Statement (Results)'!Z24*FIT_Tax_Rate</f>
        <v>450832.26586216758</v>
      </c>
      <c r="AA9" s="71">
        <f>'Income Statement (Results)'!AA24*FIT_Tax_Rate</f>
        <v>312459.46581517434</v>
      </c>
      <c r="AB9" s="71">
        <f>'Income Statement (Results)'!AB24*FIT_Tax_Rate</f>
        <v>200480.7389148605</v>
      </c>
      <c r="AC9" s="71">
        <f>'Income Statement (Results)'!AC24*FIT_Tax_Rate</f>
        <v>112841.6400046815</v>
      </c>
      <c r="AD9" s="71">
        <f>'Income Statement (Results)'!AD24*FIT_Tax_Rate</f>
        <v>50332.347596060274</v>
      </c>
      <c r="AE9" s="71">
        <f>'Income Statement (Results)'!AE24*FIT_Tax_Rate</f>
        <v>13706.755884043265</v>
      </c>
      <c r="AF9" s="71">
        <f>'Income Statement (Results)'!AF24*FIT_Tax_Rate</f>
        <v>1561.209014557478</v>
      </c>
      <c r="AG9" s="71">
        <f>'Income Statement (Results)'!AG24*FIT_Tax_Rate</f>
        <v>873.36453163655563</v>
      </c>
      <c r="AH9" s="71">
        <f>'Income Statement (Results)'!AH24*FIT_Tax_Rate</f>
        <v>390.8393791138493</v>
      </c>
      <c r="AI9" s="71">
        <f>'Income Statement (Results)'!AI24*FIT_Tax_Rate</f>
        <v>98.426542906533442</v>
      </c>
      <c r="AJ9" s="71">
        <f>'Income Statement (Results)'!AJ24*FIT_Tax_Rate</f>
        <v>4.4236291614652146E-10</v>
      </c>
      <c r="AK9" s="71">
        <f>'Income Statement (Results)'!AK24*FIT_Tax_Rate</f>
        <v>4.4236291614652146E-10</v>
      </c>
      <c r="AL9" s="71">
        <f>'Income Statement (Results)'!AL24*FIT_Tax_Rate</f>
        <v>4.4236291614652146E-10</v>
      </c>
      <c r="AM9" s="71">
        <f>'Income Statement (Results)'!AM24*FIT_Tax_Rate</f>
        <v>4.4236291614652146E-10</v>
      </c>
      <c r="AN9" s="71">
        <f>'Income Statement (Results)'!AN24*FIT_Tax_Rate</f>
        <v>4.4236291614652146E-10</v>
      </c>
      <c r="AO9" s="71">
        <f>'Income Statement (Results)'!AO24*FIT_Tax_Rate</f>
        <v>4.4236291614652146E-10</v>
      </c>
      <c r="AP9" s="71">
        <f>'Income Statement (Results)'!AP24*FIT_Tax_Rate</f>
        <v>4.4236291614652146E-10</v>
      </c>
      <c r="AQ9" s="71">
        <f>'Income Statement (Results)'!AQ24*FIT_Tax_Rate</f>
        <v>4.4236291614652146E-10</v>
      </c>
      <c r="AR9" s="71">
        <f>'Income Statement (Results)'!AR24*FIT_Tax_Rate</f>
        <v>4.4236291614652146E-10</v>
      </c>
      <c r="AS9" s="71">
        <f>'Income Statement (Results)'!AS24*FIT_Tax_Rate</f>
        <v>4.4236291614652146E-10</v>
      </c>
      <c r="AT9" s="71">
        <f>'Income Statement (Results)'!AT24*FIT_Tax_Rate</f>
        <v>4.4236291614652146E-10</v>
      </c>
      <c r="AU9" s="71">
        <f>'Income Statement (Results)'!AU24*FIT_Tax_Rate</f>
        <v>4.4236291614652146E-10</v>
      </c>
      <c r="AV9" s="71">
        <f>'Income Statement (Results)'!AV24*FIT_Tax_Rate</f>
        <v>4.4236291614652146E-10</v>
      </c>
      <c r="AW9" s="71">
        <f>'Income Statement (Results)'!AW24*FIT_Tax_Rate</f>
        <v>4.4236291614652146E-10</v>
      </c>
      <c r="AX9" s="71">
        <f>'Income Statement (Results)'!AX24*FIT_Tax_Rate</f>
        <v>4.4236291614652146E-10</v>
      </c>
      <c r="AY9" s="71">
        <f>'Income Statement (Results)'!AY24*FIT_Tax_Rate</f>
        <v>4.4236291614652146E-10</v>
      </c>
      <c r="AZ9" s="71">
        <f>'Income Statement (Results)'!AZ24*FIT_Tax_Rate</f>
        <v>4.4236291614652146E-10</v>
      </c>
      <c r="BA9" s="71">
        <f>'Income Statement (Results)'!BA24*FIT_Tax_Rate</f>
        <v>4.4236291614652146E-10</v>
      </c>
      <c r="BB9" s="71">
        <f>'Income Statement (Results)'!BB24*FIT_Tax_Rate</f>
        <v>4.4236291614652146E-10</v>
      </c>
      <c r="BC9" s="71">
        <f>'Income Statement (Results)'!BC24*FIT_Tax_Rate</f>
        <v>4.4236291614652146E-10</v>
      </c>
    </row>
    <row r="10" spans="1:55">
      <c r="B10" s="226" t="s">
        <v>80</v>
      </c>
      <c r="C10" s="227">
        <f>C6+C7+C8-C9</f>
        <v>0</v>
      </c>
      <c r="D10" s="227">
        <f>D6+D7+D8-D9</f>
        <v>1435764.4588407194</v>
      </c>
      <c r="E10" s="227">
        <f t="shared" ref="E10:BC10" si="14">E6+E7+E8-E9</f>
        <v>5693255.8950745771</v>
      </c>
      <c r="F10" s="227">
        <f>F6+F7+F8-F9</f>
        <v>13984215.389188763</v>
      </c>
      <c r="G10" s="227">
        <f t="shared" si="14"/>
        <v>25028526.572346643</v>
      </c>
      <c r="H10" s="227">
        <f t="shared" si="14"/>
        <v>33599973.930607416</v>
      </c>
      <c r="I10" s="227">
        <f t="shared" si="14"/>
        <v>41664595.560119726</v>
      </c>
      <c r="J10" s="227">
        <f t="shared" si="14"/>
        <v>49348262.857700892</v>
      </c>
      <c r="K10" s="227">
        <f t="shared" si="14"/>
        <v>55968156.163962759</v>
      </c>
      <c r="L10" s="227">
        <f t="shared" si="14"/>
        <v>56937740.883526906</v>
      </c>
      <c r="M10" s="227">
        <f t="shared" si="14"/>
        <v>52026492.996155746</v>
      </c>
      <c r="N10" s="227">
        <f t="shared" si="14"/>
        <v>47901951.529472865</v>
      </c>
      <c r="O10" s="227">
        <f t="shared" si="14"/>
        <v>44224001.442363314</v>
      </c>
      <c r="P10" s="227">
        <f t="shared" si="14"/>
        <v>40511956.554084934</v>
      </c>
      <c r="Q10" s="227">
        <f t="shared" si="14"/>
        <v>36936838.356594309</v>
      </c>
      <c r="R10" s="227">
        <f t="shared" si="14"/>
        <v>33807683.018708855</v>
      </c>
      <c r="S10" s="227">
        <f t="shared" si="14"/>
        <v>30742024.140222687</v>
      </c>
      <c r="T10" s="227">
        <f t="shared" si="14"/>
        <v>27743943.295355991</v>
      </c>
      <c r="U10" s="227">
        <f t="shared" si="14"/>
        <v>24952625.73136878</v>
      </c>
      <c r="V10" s="227">
        <f t="shared" si="14"/>
        <v>23097361.057389826</v>
      </c>
      <c r="W10" s="227">
        <f t="shared" si="14"/>
        <v>22006842.072535563</v>
      </c>
      <c r="X10" s="227">
        <f t="shared" si="14"/>
        <v>20918191.481092606</v>
      </c>
      <c r="Y10" s="227">
        <f t="shared" si="14"/>
        <v>19160057.030076355</v>
      </c>
      <c r="Z10" s="227">
        <f t="shared" si="14"/>
        <v>17030468.629316203</v>
      </c>
      <c r="AA10" s="227">
        <f t="shared" si="14"/>
        <v>13481635.724352872</v>
      </c>
      <c r="AB10" s="227">
        <f t="shared" si="14"/>
        <v>10557627.016320163</v>
      </c>
      <c r="AC10" s="227">
        <f t="shared" si="14"/>
        <v>7707334.4562991653</v>
      </c>
      <c r="AD10" s="227">
        <f t="shared" si="14"/>
        <v>4944509.4088509399</v>
      </c>
      <c r="AE10" s="227">
        <f t="shared" si="14"/>
        <v>2271775.8993526683</v>
      </c>
      <c r="AF10" s="227">
        <f t="shared" si="14"/>
        <v>84052.448411147634</v>
      </c>
      <c r="AG10" s="227">
        <f t="shared" si="14"/>
        <v>59148.879853282626</v>
      </c>
      <c r="AH10" s="227">
        <f t="shared" si="14"/>
        <v>38542.72946211246</v>
      </c>
      <c r="AI10" s="227">
        <f t="shared" si="14"/>
        <v>18933.767651923343</v>
      </c>
      <c r="AJ10" s="227">
        <f t="shared" si="14"/>
        <v>2.7565240961848763E-9</v>
      </c>
      <c r="AK10" s="227">
        <f t="shared" si="14"/>
        <v>2.7565240961848763E-9</v>
      </c>
      <c r="AL10" s="227">
        <f t="shared" si="14"/>
        <v>2.7565240961848763E-9</v>
      </c>
      <c r="AM10" s="227">
        <f t="shared" si="14"/>
        <v>2.7565240961848763E-9</v>
      </c>
      <c r="AN10" s="227">
        <f t="shared" si="14"/>
        <v>2.7565240961848763E-9</v>
      </c>
      <c r="AO10" s="227">
        <f t="shared" si="14"/>
        <v>2.7565240961848763E-9</v>
      </c>
      <c r="AP10" s="227">
        <f t="shared" si="14"/>
        <v>2.7565240961848763E-9</v>
      </c>
      <c r="AQ10" s="227">
        <f t="shared" si="14"/>
        <v>2.7565240961848763E-9</v>
      </c>
      <c r="AR10" s="227">
        <f t="shared" si="14"/>
        <v>2.7565240961848763E-9</v>
      </c>
      <c r="AS10" s="227">
        <f t="shared" si="14"/>
        <v>2.7565240961848763E-9</v>
      </c>
      <c r="AT10" s="227">
        <f t="shared" si="14"/>
        <v>2.7565240961848763E-9</v>
      </c>
      <c r="AU10" s="227">
        <f t="shared" si="14"/>
        <v>2.7565240961848763E-9</v>
      </c>
      <c r="AV10" s="227">
        <f t="shared" si="14"/>
        <v>2.7565240961848763E-9</v>
      </c>
      <c r="AW10" s="227">
        <f t="shared" si="14"/>
        <v>2.7565240961848763E-9</v>
      </c>
      <c r="AX10" s="227">
        <f t="shared" si="14"/>
        <v>2.7565240961848763E-9</v>
      </c>
      <c r="AY10" s="227">
        <f t="shared" si="14"/>
        <v>2.7565240961848763E-9</v>
      </c>
      <c r="AZ10" s="227">
        <f t="shared" si="14"/>
        <v>2.7565240961848763E-9</v>
      </c>
      <c r="BA10" s="227">
        <f t="shared" si="14"/>
        <v>2.7565240961848763E-9</v>
      </c>
      <c r="BB10" s="227">
        <f t="shared" si="14"/>
        <v>2.7565240961848763E-9</v>
      </c>
      <c r="BC10" s="227">
        <f t="shared" si="14"/>
        <v>2.7565240961848763E-9</v>
      </c>
    </row>
    <row r="11" spans="1:55">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row>
    <row r="12" spans="1:55">
      <c r="A12" s="50"/>
      <c r="B12" s="48" t="s">
        <v>33</v>
      </c>
      <c r="C12" s="71">
        <f>'Capital Results '!D55</f>
        <v>19793828.009456668</v>
      </c>
      <c r="D12" s="71">
        <f>'Capital Results '!E55</f>
        <v>32342118.307692379</v>
      </c>
      <c r="E12" s="71">
        <f>'Capital Results '!F55</f>
        <v>76704140.577343047</v>
      </c>
      <c r="F12" s="71">
        <f>'Capital Results '!G55</f>
        <v>63560675.937072933</v>
      </c>
      <c r="G12" s="71">
        <f>'Capital Results '!H55</f>
        <v>65786296.585617647</v>
      </c>
      <c r="H12" s="71">
        <f>'Capital Results '!I55</f>
        <v>67759885.48318617</v>
      </c>
      <c r="I12" s="71">
        <f>'Capital Results '!J55</f>
        <v>69792682.047681749</v>
      </c>
      <c r="J12" s="71">
        <f>'Capital Results '!K55</f>
        <v>60300501.335585594</v>
      </c>
      <c r="K12" s="71">
        <f>'Capital Results '!L55</f>
        <v>588642.75358512939</v>
      </c>
      <c r="L12" s="71">
        <f>'Capital Results '!M55</f>
        <v>502476.37930266297</v>
      </c>
      <c r="M12" s="71">
        <f>'Capital Results '!N55</f>
        <v>507828.81371840462</v>
      </c>
      <c r="N12" s="71">
        <f>'Capital Results '!O55</f>
        <v>523063.67812995671</v>
      </c>
      <c r="O12" s="71">
        <f>'Capital Results '!P55</f>
        <v>0</v>
      </c>
      <c r="P12" s="71">
        <f>'Capital Results '!Q55</f>
        <v>0</v>
      </c>
      <c r="Q12" s="71">
        <f>'Capital Results '!R55</f>
        <v>0</v>
      </c>
      <c r="R12" s="71">
        <f>'Capital Results '!S55</f>
        <v>0</v>
      </c>
      <c r="S12" s="71">
        <f>'Capital Results '!T55</f>
        <v>0</v>
      </c>
      <c r="T12" s="71">
        <f>'Capital Results '!U55</f>
        <v>0</v>
      </c>
      <c r="U12" s="71">
        <f>'Capital Results '!V55</f>
        <v>0</v>
      </c>
      <c r="V12" s="71">
        <f>'Capital Results '!W55</f>
        <v>0</v>
      </c>
      <c r="W12" s="71">
        <f>'Capital Results '!X55</f>
        <v>0</v>
      </c>
      <c r="X12" s="71">
        <f>'Capital Results '!Y55</f>
        <v>0</v>
      </c>
      <c r="Y12" s="71">
        <f>'Capital Results '!Z55</f>
        <v>0</v>
      </c>
      <c r="Z12" s="71">
        <f>'Capital Results '!AA55</f>
        <v>0</v>
      </c>
      <c r="AA12" s="71">
        <f>'Capital Results '!AB55</f>
        <v>0</v>
      </c>
      <c r="AB12" s="71">
        <f>'Capital Results '!AC55</f>
        <v>0</v>
      </c>
      <c r="AC12" s="71">
        <f>'Capital Results '!AD55</f>
        <v>0</v>
      </c>
      <c r="AD12" s="71">
        <f>'Capital Results '!AE55</f>
        <v>0</v>
      </c>
      <c r="AE12" s="71">
        <f>'Capital Results '!AF55</f>
        <v>0</v>
      </c>
      <c r="AF12" s="71">
        <f>'Capital Results '!AG55</f>
        <v>0</v>
      </c>
      <c r="AG12" s="71">
        <f>'Capital Results '!AH55</f>
        <v>0</v>
      </c>
      <c r="AH12" s="71">
        <f>'Capital Results '!AI55</f>
        <v>0</v>
      </c>
      <c r="AI12" s="71">
        <f>'Capital Results '!AJ55</f>
        <v>0</v>
      </c>
      <c r="AJ12" s="71">
        <f>'Capital Results '!AK55</f>
        <v>0</v>
      </c>
      <c r="AK12" s="71">
        <f>'Capital Results '!AL55</f>
        <v>0</v>
      </c>
      <c r="AL12" s="71">
        <f>'Capital Results '!AM55</f>
        <v>0</v>
      </c>
      <c r="AM12" s="71">
        <f>'Capital Results '!AN55</f>
        <v>0</v>
      </c>
      <c r="AN12" s="71">
        <f>'Capital Results '!AO55</f>
        <v>0</v>
      </c>
      <c r="AO12" s="71">
        <f>'Capital Results '!AP55</f>
        <v>0</v>
      </c>
      <c r="AP12" s="71">
        <f>'Capital Results '!AQ55</f>
        <v>0</v>
      </c>
      <c r="AQ12" s="71">
        <f>'Capital Results '!AR55</f>
        <v>0</v>
      </c>
      <c r="AR12" s="71">
        <f>'Capital Results '!AS55</f>
        <v>0</v>
      </c>
      <c r="AS12" s="71">
        <f>'Capital Results '!AT55</f>
        <v>0</v>
      </c>
      <c r="AT12" s="71">
        <f>'Capital Results '!AU55</f>
        <v>0</v>
      </c>
      <c r="AU12" s="71">
        <f>'Capital Results '!AV55</f>
        <v>0</v>
      </c>
      <c r="AV12" s="71">
        <f>'Capital Results '!AW55</f>
        <v>0</v>
      </c>
      <c r="AW12" s="71">
        <f>'Capital Results '!AX55</f>
        <v>0</v>
      </c>
      <c r="AX12" s="71">
        <f>'Capital Results '!AY55</f>
        <v>0</v>
      </c>
      <c r="AY12" s="71">
        <f>'Capital Results '!AZ55</f>
        <v>0</v>
      </c>
      <c r="AZ12" s="71">
        <f>'Capital Results '!BA55</f>
        <v>0</v>
      </c>
      <c r="BA12" s="71">
        <f>'Capital Results '!BB55</f>
        <v>0</v>
      </c>
      <c r="BB12" s="71">
        <f>'Capital Results '!BC55</f>
        <v>0</v>
      </c>
      <c r="BC12" s="71">
        <f>'Capital Results '!BD55</f>
        <v>0</v>
      </c>
    </row>
    <row r="13" spans="1:55" ht="10.5" customHeight="1">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row>
    <row r="14" spans="1:55">
      <c r="A14" s="50"/>
      <c r="B14" s="262" t="s">
        <v>101</v>
      </c>
      <c r="C14" s="263">
        <f>C10-C12</f>
        <v>-19793828.009456668</v>
      </c>
      <c r="D14" s="263">
        <f>D10-D12</f>
        <v>-30906353.848851658</v>
      </c>
      <c r="E14" s="263">
        <f t="shared" ref="E14:AP14" si="15">E10-E12</f>
        <v>-71010884.682268471</v>
      </c>
      <c r="F14" s="263">
        <f>F10-F12</f>
        <v>-49576460.547884166</v>
      </c>
      <c r="G14" s="263">
        <f t="shared" si="15"/>
        <v>-40757770.013271004</v>
      </c>
      <c r="H14" s="263">
        <f t="shared" si="15"/>
        <v>-34159911.552578755</v>
      </c>
      <c r="I14" s="263">
        <f t="shared" si="15"/>
        <v>-28128086.487562023</v>
      </c>
      <c r="J14" s="263">
        <f t="shared" si="15"/>
        <v>-10952238.477884702</v>
      </c>
      <c r="K14" s="263">
        <f t="shared" si="15"/>
        <v>55379513.410377629</v>
      </c>
      <c r="L14" s="263">
        <f t="shared" si="15"/>
        <v>56435264.504224241</v>
      </c>
      <c r="M14" s="263">
        <f t="shared" si="15"/>
        <v>51518664.182437345</v>
      </c>
      <c r="N14" s="263">
        <f t="shared" si="15"/>
        <v>47378887.851342909</v>
      </c>
      <c r="O14" s="263">
        <f t="shared" si="15"/>
        <v>44224001.442363314</v>
      </c>
      <c r="P14" s="263">
        <f t="shared" si="15"/>
        <v>40511956.554084934</v>
      </c>
      <c r="Q14" s="263">
        <f t="shared" si="15"/>
        <v>36936838.356594309</v>
      </c>
      <c r="R14" s="263">
        <f t="shared" si="15"/>
        <v>33807683.018708855</v>
      </c>
      <c r="S14" s="263">
        <f t="shared" si="15"/>
        <v>30742024.140222687</v>
      </c>
      <c r="T14" s="263">
        <f t="shared" si="15"/>
        <v>27743943.295355991</v>
      </c>
      <c r="U14" s="263">
        <f t="shared" si="15"/>
        <v>24952625.73136878</v>
      </c>
      <c r="V14" s="263">
        <f t="shared" si="15"/>
        <v>23097361.057389826</v>
      </c>
      <c r="W14" s="263">
        <f t="shared" si="15"/>
        <v>22006842.072535563</v>
      </c>
      <c r="X14" s="263">
        <f t="shared" si="15"/>
        <v>20918191.481092606</v>
      </c>
      <c r="Y14" s="263">
        <f t="shared" si="15"/>
        <v>19160057.030076355</v>
      </c>
      <c r="Z14" s="263">
        <f t="shared" si="15"/>
        <v>17030468.629316203</v>
      </c>
      <c r="AA14" s="263">
        <f t="shared" si="15"/>
        <v>13481635.724352872</v>
      </c>
      <c r="AB14" s="263">
        <f t="shared" si="15"/>
        <v>10557627.016320163</v>
      </c>
      <c r="AC14" s="263">
        <f t="shared" si="15"/>
        <v>7707334.4562991653</v>
      </c>
      <c r="AD14" s="263">
        <f t="shared" si="15"/>
        <v>4944509.4088509399</v>
      </c>
      <c r="AE14" s="263">
        <f t="shared" si="15"/>
        <v>2271775.8993526683</v>
      </c>
      <c r="AF14" s="263">
        <f t="shared" si="15"/>
        <v>84052.448411147634</v>
      </c>
      <c r="AG14" s="263">
        <f t="shared" si="15"/>
        <v>59148.879853282626</v>
      </c>
      <c r="AH14" s="263">
        <f t="shared" si="15"/>
        <v>38542.72946211246</v>
      </c>
      <c r="AI14" s="263">
        <f t="shared" si="15"/>
        <v>18933.767651923343</v>
      </c>
      <c r="AJ14" s="263">
        <f t="shared" si="15"/>
        <v>2.7565240961848763E-9</v>
      </c>
      <c r="AK14" s="263">
        <f t="shared" si="15"/>
        <v>2.7565240961848763E-9</v>
      </c>
      <c r="AL14" s="263">
        <f t="shared" si="15"/>
        <v>2.7565240961848763E-9</v>
      </c>
      <c r="AM14" s="263">
        <f t="shared" si="15"/>
        <v>2.7565240961848763E-9</v>
      </c>
      <c r="AN14" s="263">
        <f t="shared" si="15"/>
        <v>2.7565240961848763E-9</v>
      </c>
      <c r="AO14" s="263">
        <f t="shared" si="15"/>
        <v>2.7565240961848763E-9</v>
      </c>
      <c r="AP14" s="263">
        <f t="shared" si="15"/>
        <v>2.7565240961848763E-9</v>
      </c>
      <c r="AQ14" s="263">
        <f t="shared" ref="AQ14:BC14" si="16">AQ10-AQ12</f>
        <v>2.7565240961848763E-9</v>
      </c>
      <c r="AR14" s="263">
        <f t="shared" si="16"/>
        <v>2.7565240961848763E-9</v>
      </c>
      <c r="AS14" s="263">
        <f t="shared" si="16"/>
        <v>2.7565240961848763E-9</v>
      </c>
      <c r="AT14" s="263">
        <f t="shared" si="16"/>
        <v>2.7565240961848763E-9</v>
      </c>
      <c r="AU14" s="263">
        <f t="shared" si="16"/>
        <v>2.7565240961848763E-9</v>
      </c>
      <c r="AV14" s="263">
        <f t="shared" si="16"/>
        <v>2.7565240961848763E-9</v>
      </c>
      <c r="AW14" s="263">
        <f t="shared" si="16"/>
        <v>2.7565240961848763E-9</v>
      </c>
      <c r="AX14" s="263">
        <f t="shared" si="16"/>
        <v>2.7565240961848763E-9</v>
      </c>
      <c r="AY14" s="263">
        <f t="shared" si="16"/>
        <v>2.7565240961848763E-9</v>
      </c>
      <c r="AZ14" s="263">
        <f t="shared" si="16"/>
        <v>2.7565240961848763E-9</v>
      </c>
      <c r="BA14" s="263">
        <f t="shared" si="16"/>
        <v>2.7565240961848763E-9</v>
      </c>
      <c r="BB14" s="263">
        <f t="shared" si="16"/>
        <v>2.7565240961848763E-9</v>
      </c>
      <c r="BC14" s="263">
        <f t="shared" si="16"/>
        <v>2.7565240961848763E-9</v>
      </c>
    </row>
    <row r="15" spans="1:55" s="272" customFormat="1">
      <c r="A15" s="51"/>
      <c r="B15" s="337" t="s">
        <v>204</v>
      </c>
      <c r="C15" s="338">
        <f>C14</f>
        <v>-19793828.009456668</v>
      </c>
      <c r="D15" s="338">
        <f>D14+C15</f>
        <v>-50700181.85830833</v>
      </c>
      <c r="E15" s="338">
        <f>E14+D15</f>
        <v>-121711066.5405768</v>
      </c>
      <c r="F15" s="338">
        <f>F14+E15</f>
        <v>-171287527.08846098</v>
      </c>
      <c r="G15" s="338">
        <f>G14+F15</f>
        <v>-212045297.10173199</v>
      </c>
      <c r="H15" s="338">
        <f t="shared" ref="H15:BC15" si="17">H14+G15</f>
        <v>-246205208.65431073</v>
      </c>
      <c r="I15" s="338">
        <f t="shared" si="17"/>
        <v>-274333295.14187276</v>
      </c>
      <c r="J15" s="338">
        <f t="shared" si="17"/>
        <v>-285285533.61975747</v>
      </c>
      <c r="K15" s="338">
        <f t="shared" si="17"/>
        <v>-229906020.20937985</v>
      </c>
      <c r="L15" s="338">
        <f t="shared" si="17"/>
        <v>-173470755.70515561</v>
      </c>
      <c r="M15" s="338">
        <f t="shared" si="17"/>
        <v>-121952091.52271827</v>
      </c>
      <c r="N15" s="338">
        <f t="shared" si="17"/>
        <v>-74573203.671375364</v>
      </c>
      <c r="O15" s="338">
        <f t="shared" si="17"/>
        <v>-30349202.22901205</v>
      </c>
      <c r="P15" s="338">
        <f t="shared" si="17"/>
        <v>10162754.325072885</v>
      </c>
      <c r="Q15" s="338">
        <f t="shared" si="17"/>
        <v>47099592.681667194</v>
      </c>
      <c r="R15" s="338">
        <f t="shared" si="17"/>
        <v>80907275.700376049</v>
      </c>
      <c r="S15" s="338">
        <f t="shared" si="17"/>
        <v>111649299.84059873</v>
      </c>
      <c r="T15" s="338">
        <f t="shared" si="17"/>
        <v>139393243.13595474</v>
      </c>
      <c r="U15" s="338">
        <f t="shared" si="17"/>
        <v>164345868.86732352</v>
      </c>
      <c r="V15" s="338">
        <f t="shared" si="17"/>
        <v>187443229.92471334</v>
      </c>
      <c r="W15" s="338">
        <f t="shared" si="17"/>
        <v>209450071.99724892</v>
      </c>
      <c r="X15" s="338">
        <f t="shared" si="17"/>
        <v>230368263.47834152</v>
      </c>
      <c r="Y15" s="338">
        <f t="shared" si="17"/>
        <v>249528320.50841787</v>
      </c>
      <c r="Z15" s="338">
        <f t="shared" si="17"/>
        <v>266558789.13773409</v>
      </c>
      <c r="AA15" s="338">
        <f t="shared" si="17"/>
        <v>280040424.86208695</v>
      </c>
      <c r="AB15" s="338">
        <f t="shared" si="17"/>
        <v>290598051.87840712</v>
      </c>
      <c r="AC15" s="338">
        <f t="shared" si="17"/>
        <v>298305386.33470631</v>
      </c>
      <c r="AD15" s="338">
        <f t="shared" si="17"/>
        <v>303249895.74355727</v>
      </c>
      <c r="AE15" s="338">
        <f t="shared" si="17"/>
        <v>305521671.64290994</v>
      </c>
      <c r="AF15" s="338">
        <f t="shared" si="17"/>
        <v>305605724.09132111</v>
      </c>
      <c r="AG15" s="338">
        <f t="shared" si="17"/>
        <v>305664872.97117442</v>
      </c>
      <c r="AH15" s="338">
        <f t="shared" si="17"/>
        <v>305703415.70063651</v>
      </c>
      <c r="AI15" s="338">
        <f t="shared" si="17"/>
        <v>305722349.46828842</v>
      </c>
      <c r="AJ15" s="338">
        <f t="shared" si="17"/>
        <v>305722349.46828842</v>
      </c>
      <c r="AK15" s="338">
        <f t="shared" si="17"/>
        <v>305722349.46828842</v>
      </c>
      <c r="AL15" s="338">
        <f t="shared" si="17"/>
        <v>305722349.46828842</v>
      </c>
      <c r="AM15" s="338">
        <f t="shared" si="17"/>
        <v>305722349.46828842</v>
      </c>
      <c r="AN15" s="338">
        <f t="shared" si="17"/>
        <v>305722349.46828842</v>
      </c>
      <c r="AO15" s="338">
        <f t="shared" si="17"/>
        <v>305722349.46828842</v>
      </c>
      <c r="AP15" s="338">
        <f t="shared" si="17"/>
        <v>305722349.46828842</v>
      </c>
      <c r="AQ15" s="338">
        <f t="shared" si="17"/>
        <v>305722349.46828842</v>
      </c>
      <c r="AR15" s="338">
        <f t="shared" si="17"/>
        <v>305722349.46828842</v>
      </c>
      <c r="AS15" s="338">
        <f t="shared" si="17"/>
        <v>305722349.46828842</v>
      </c>
      <c r="AT15" s="338">
        <f t="shared" si="17"/>
        <v>305722349.46828842</v>
      </c>
      <c r="AU15" s="338">
        <f t="shared" si="17"/>
        <v>305722349.46828842</v>
      </c>
      <c r="AV15" s="338">
        <f t="shared" si="17"/>
        <v>305722349.46828842</v>
      </c>
      <c r="AW15" s="338">
        <f t="shared" si="17"/>
        <v>305722349.46828842</v>
      </c>
      <c r="AX15" s="338">
        <f t="shared" si="17"/>
        <v>305722349.46828842</v>
      </c>
      <c r="AY15" s="338">
        <f t="shared" si="17"/>
        <v>305722349.46828842</v>
      </c>
      <c r="AZ15" s="338">
        <f t="shared" si="17"/>
        <v>305722349.46828842</v>
      </c>
      <c r="BA15" s="338">
        <f t="shared" si="17"/>
        <v>305722349.46828842</v>
      </c>
      <c r="BB15" s="338">
        <f t="shared" si="17"/>
        <v>305722349.46828842</v>
      </c>
      <c r="BC15" s="338">
        <f t="shared" si="17"/>
        <v>305722349.46828842</v>
      </c>
    </row>
    <row r="16" spans="1:55" s="272" customFormat="1">
      <c r="A16" s="51"/>
      <c r="B16" s="337" t="s">
        <v>205</v>
      </c>
      <c r="C16" s="339">
        <f>SUM(C12:AS12)/(AVERAGE(K14:AS14))</f>
        <v>27.132759740878296</v>
      </c>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8"/>
    </row>
    <row r="17" spans="1:55" ht="10.5" customHeight="1"/>
    <row r="18" spans="1:55" ht="15" customHeight="1">
      <c r="B18" s="53" t="s">
        <v>129</v>
      </c>
    </row>
    <row r="19" spans="1:55">
      <c r="B19" s="72" t="s">
        <v>101</v>
      </c>
      <c r="C19" s="73">
        <f>C14</f>
        <v>-19793828.009456668</v>
      </c>
      <c r="D19" s="73">
        <f>D14</f>
        <v>-30906353.848851658</v>
      </c>
      <c r="E19" s="73">
        <f>E14</f>
        <v>-71010884.682268471</v>
      </c>
      <c r="F19" s="73">
        <f t="shared" ref="F19:BC19" si="18">F14</f>
        <v>-49576460.547884166</v>
      </c>
      <c r="G19" s="73">
        <f t="shared" si="18"/>
        <v>-40757770.013271004</v>
      </c>
      <c r="H19" s="73">
        <f t="shared" si="18"/>
        <v>-34159911.552578755</v>
      </c>
      <c r="I19" s="73">
        <f t="shared" si="18"/>
        <v>-28128086.487562023</v>
      </c>
      <c r="J19" s="73">
        <f t="shared" si="18"/>
        <v>-10952238.477884702</v>
      </c>
      <c r="K19" s="73">
        <f t="shared" si="18"/>
        <v>55379513.410377629</v>
      </c>
      <c r="L19" s="73">
        <f t="shared" si="18"/>
        <v>56435264.504224241</v>
      </c>
      <c r="M19" s="73">
        <f t="shared" si="18"/>
        <v>51518664.182437345</v>
      </c>
      <c r="N19" s="73">
        <f t="shared" si="18"/>
        <v>47378887.851342909</v>
      </c>
      <c r="O19" s="73">
        <f t="shared" si="18"/>
        <v>44224001.442363314</v>
      </c>
      <c r="P19" s="73">
        <f t="shared" si="18"/>
        <v>40511956.554084934</v>
      </c>
      <c r="Q19" s="73">
        <f t="shared" si="18"/>
        <v>36936838.356594309</v>
      </c>
      <c r="R19" s="73">
        <f t="shared" si="18"/>
        <v>33807683.018708855</v>
      </c>
      <c r="S19" s="73">
        <f t="shared" si="18"/>
        <v>30742024.140222687</v>
      </c>
      <c r="T19" s="73">
        <f t="shared" si="18"/>
        <v>27743943.295355991</v>
      </c>
      <c r="U19" s="73">
        <f t="shared" si="18"/>
        <v>24952625.73136878</v>
      </c>
      <c r="V19" s="73">
        <f t="shared" si="18"/>
        <v>23097361.057389826</v>
      </c>
      <c r="W19" s="73">
        <f t="shared" si="18"/>
        <v>22006842.072535563</v>
      </c>
      <c r="X19" s="73">
        <f t="shared" si="18"/>
        <v>20918191.481092606</v>
      </c>
      <c r="Y19" s="73">
        <f t="shared" si="18"/>
        <v>19160057.030076355</v>
      </c>
      <c r="Z19" s="73">
        <f t="shared" si="18"/>
        <v>17030468.629316203</v>
      </c>
      <c r="AA19" s="73">
        <f t="shared" si="18"/>
        <v>13481635.724352872</v>
      </c>
      <c r="AB19" s="73">
        <f t="shared" si="18"/>
        <v>10557627.016320163</v>
      </c>
      <c r="AC19" s="73">
        <f t="shared" si="18"/>
        <v>7707334.4562991653</v>
      </c>
      <c r="AD19" s="73">
        <f t="shared" si="18"/>
        <v>4944509.4088509399</v>
      </c>
      <c r="AE19" s="73">
        <f t="shared" si="18"/>
        <v>2271775.8993526683</v>
      </c>
      <c r="AF19" s="73">
        <f t="shared" si="18"/>
        <v>84052.448411147634</v>
      </c>
      <c r="AG19" s="73">
        <f t="shared" si="18"/>
        <v>59148.879853282626</v>
      </c>
      <c r="AH19" s="73">
        <f t="shared" si="18"/>
        <v>38542.72946211246</v>
      </c>
      <c r="AI19" s="73">
        <f t="shared" si="18"/>
        <v>18933.767651923343</v>
      </c>
      <c r="AJ19" s="73">
        <f t="shared" si="18"/>
        <v>2.7565240961848763E-9</v>
      </c>
      <c r="AK19" s="73">
        <f t="shared" si="18"/>
        <v>2.7565240961848763E-9</v>
      </c>
      <c r="AL19" s="73">
        <f t="shared" si="18"/>
        <v>2.7565240961848763E-9</v>
      </c>
      <c r="AM19" s="73">
        <f t="shared" si="18"/>
        <v>2.7565240961848763E-9</v>
      </c>
      <c r="AN19" s="73">
        <f t="shared" si="18"/>
        <v>2.7565240961848763E-9</v>
      </c>
      <c r="AO19" s="73">
        <f t="shared" si="18"/>
        <v>2.7565240961848763E-9</v>
      </c>
      <c r="AP19" s="73">
        <f t="shared" si="18"/>
        <v>2.7565240961848763E-9</v>
      </c>
      <c r="AQ19" s="73">
        <f t="shared" si="18"/>
        <v>2.7565240961848763E-9</v>
      </c>
      <c r="AR19" s="73">
        <f t="shared" si="18"/>
        <v>2.7565240961848763E-9</v>
      </c>
      <c r="AS19" s="73">
        <f t="shared" si="18"/>
        <v>2.7565240961848763E-9</v>
      </c>
      <c r="AT19" s="73">
        <f t="shared" si="18"/>
        <v>2.7565240961848763E-9</v>
      </c>
      <c r="AU19" s="73">
        <f t="shared" si="18"/>
        <v>2.7565240961848763E-9</v>
      </c>
      <c r="AV19" s="73">
        <f t="shared" si="18"/>
        <v>2.7565240961848763E-9</v>
      </c>
      <c r="AW19" s="73">
        <f t="shared" si="18"/>
        <v>2.7565240961848763E-9</v>
      </c>
      <c r="AX19" s="73">
        <f t="shared" si="18"/>
        <v>2.7565240961848763E-9</v>
      </c>
      <c r="AY19" s="73">
        <f t="shared" si="18"/>
        <v>2.7565240961848763E-9</v>
      </c>
      <c r="AZ19" s="73">
        <f t="shared" si="18"/>
        <v>2.7565240961848763E-9</v>
      </c>
      <c r="BA19" s="73">
        <f t="shared" si="18"/>
        <v>2.7565240961848763E-9</v>
      </c>
      <c r="BB19" s="73">
        <f t="shared" si="18"/>
        <v>2.7565240961848763E-9</v>
      </c>
      <c r="BC19" s="73">
        <f t="shared" si="18"/>
        <v>2.7565240961848763E-9</v>
      </c>
    </row>
    <row r="20" spans="1:55">
      <c r="B20" s="48" t="s">
        <v>85</v>
      </c>
      <c r="C20" s="74">
        <f>(After_Tax_Cash_Discount+1)^(C$4-'Financial Assumptions'!$C$6+0.5)</f>
        <v>1.032935622388927</v>
      </c>
      <c r="D20" s="74">
        <f>(After_Tax_Cash_Discount+1)^(D$4-'Financial Assumptions'!$C$6+0.5)</f>
        <v>1.1020968599216001</v>
      </c>
      <c r="E20" s="74">
        <f>(After_Tax_Cash_Discount+1)^(E$4-'Financial Assumptions'!$C$6+0.5)</f>
        <v>1.1758888572745108</v>
      </c>
      <c r="F20" s="74">
        <f>(After_Tax_Cash_Discount+1)^(F$4-'Financial Assumptions'!$C$6+0.5)</f>
        <v>1.254621671602183</v>
      </c>
      <c r="G20" s="74">
        <f>(After_Tax_Cash_Discount+1)^(G$4-'Financial Assumptions'!$C$6+0.5)</f>
        <v>1.3386261202459786</v>
      </c>
      <c r="H20" s="74">
        <f>(After_Tax_Cash_Discount+1)^(H$4-'Financial Assumptions'!$C$6+0.5)</f>
        <v>1.4282551707531683</v>
      </c>
      <c r="I20" s="74">
        <f>(After_Tax_Cash_Discount+1)^(I$4-'Financial Assumptions'!$C$6+0.5)</f>
        <v>1.5238854239661175</v>
      </c>
      <c r="J20" s="74">
        <f>(After_Tax_Cash_Discount+1)^(J$4-'Financial Assumptions'!$C$6+0.5)</f>
        <v>1.6259186964131929</v>
      </c>
      <c r="K20" s="74">
        <f>(After_Tax_Cash_Discount+1)^(K$4-'Financial Assumptions'!$C$6+0.5)</f>
        <v>1.7347837086502347</v>
      </c>
      <c r="L20" s="74">
        <f>(After_Tax_Cash_Discount+1)^(L$4-'Financial Assumptions'!$C$6+0.5)</f>
        <v>1.85093788664662</v>
      </c>
      <c r="M20" s="74">
        <f>(After_Tax_Cash_Discount+1)^(M$4-'Financial Assumptions'!$C$6+0.5)</f>
        <v>1.9748692837849311</v>
      </c>
      <c r="N20" s="74">
        <f>(After_Tax_Cash_Discount+1)^(N$4-'Financial Assumptions'!$C$6+0.5)</f>
        <v>2.1070986315500346</v>
      </c>
      <c r="O20" s="74">
        <f>(After_Tax_Cash_Discount+1)^(O$4-'Financial Assumptions'!$C$6+0.5)</f>
        <v>2.2481815275240993</v>
      </c>
      <c r="P20" s="74">
        <f>(After_Tax_Cash_Discount+1)^(P$4-'Financial Assumptions'!$C$6+0.5)</f>
        <v>2.3987107698810024</v>
      </c>
      <c r="Q20" s="74">
        <f>(After_Tax_Cash_Discount+1)^(Q$4-'Financial Assumptions'!$C$6+0.5)</f>
        <v>2.5593188481891551</v>
      </c>
      <c r="R20" s="74">
        <f>(After_Tax_Cash_Discount+1)^(R$4-'Financial Assumptions'!$C$6+0.5)</f>
        <v>2.7306806009885078</v>
      </c>
      <c r="S20" s="74">
        <f>(After_Tax_Cash_Discount+1)^(S$4-'Financial Assumptions'!$C$6+0.5)</f>
        <v>2.9135160513082949</v>
      </c>
      <c r="T20" s="74">
        <f>(After_Tax_Cash_Discount+1)^(T$4-'Financial Assumptions'!$C$6+0.5)</f>
        <v>3.1085934320396928</v>
      </c>
      <c r="U20" s="74">
        <f>(After_Tax_Cash_Discount+1)^(U$4-'Financial Assumptions'!$C$6+0.5)</f>
        <v>3.3167324138753425</v>
      </c>
      <c r="V20" s="74">
        <f>(After_Tax_Cash_Discount+1)^(V$4-'Financial Assumptions'!$C$6+0.5)</f>
        <v>3.5388075493787805</v>
      </c>
      <c r="W20" s="74">
        <f>(After_Tax_Cash_Discount+1)^(W$4-'Financial Assumptions'!$C$6+0.5)</f>
        <v>3.7757519476549861</v>
      </c>
      <c r="X20" s="74">
        <f>(After_Tax_Cash_Discount+1)^(X$4-'Financial Assumptions'!$C$6+0.5)</f>
        <v>4.0285611950621734</v>
      </c>
      <c r="Y20" s="74">
        <f>(After_Tax_Cash_Discount+1)^(Y$4-'Financial Assumptions'!$C$6+0.5)</f>
        <v>4.2982975384387565</v>
      </c>
      <c r="Z20" s="74">
        <f>(After_Tax_Cash_Discount+1)^(Z$4-'Financial Assumptions'!$C$6+0.5)</f>
        <v>4.5860943484224617</v>
      </c>
      <c r="AA20" s="74">
        <f>(After_Tax_Cash_Discount+1)^(AA$4-'Financial Assumptions'!$C$6+0.5)</f>
        <v>4.8931608816154357</v>
      </c>
      <c r="AB20" s="74">
        <f>(After_Tax_Cash_Discount+1)^(AB$4-'Financial Assumptions'!$C$6+0.5)</f>
        <v>5.220787361604879</v>
      </c>
      <c r="AC20" s="74">
        <f>(After_Tax_Cash_Discount+1)^(AC$4-'Financial Assumptions'!$C$6+0.5)</f>
        <v>5.570350400188496</v>
      </c>
      <c r="AD20" s="74">
        <f>(After_Tax_Cash_Discount+1)^(AD$4-'Financial Assumptions'!$C$6+0.5)</f>
        <v>5.9433187815835167</v>
      </c>
      <c r="AE20" s="74">
        <f>(After_Tax_Cash_Discount+1)^(AE$4-'Financial Assumptions'!$C$6+0.5)</f>
        <v>6.3412596339232223</v>
      </c>
      <c r="AF20" s="74">
        <f>(After_Tax_Cash_Discount+1)^(AF$4-'Financial Assumptions'!$C$6+0.5)</f>
        <v>6.7658450139721866</v>
      </c>
      <c r="AG20" s="74">
        <f>(After_Tax_Cash_Discount+1)^(AG$4-'Financial Assumptions'!$C$6+0.5)</f>
        <v>7.2188589327277075</v>
      </c>
      <c r="AH20" s="74">
        <f>(After_Tax_Cash_Discount+1)^(AH$4-'Financial Assumptions'!$C$6+0.5)</f>
        <v>7.7022048514274255</v>
      </c>
      <c r="AI20" s="74">
        <f>(After_Tax_Cash_Discount+1)^(AI$4-'Financial Assumptions'!$C$6+0.5)</f>
        <v>8.2179136794595973</v>
      </c>
      <c r="AJ20" s="74">
        <f>(After_Tax_Cash_Discount+1)^(AJ$4-'Financial Assumptions'!$C$6+0.5)</f>
        <v>8.7681523077814969</v>
      </c>
      <c r="AK20" s="74">
        <f>(After_Tax_Cash_Discount+1)^(AK$4-'Financial Assumptions'!$C$6+0.5)</f>
        <v>9.3552327137013158</v>
      </c>
      <c r="AL20" s="74">
        <f>(After_Tax_Cash_Discount+1)^(AL$4-'Financial Assumptions'!$C$6+0.5)</f>
        <v>9.9816216752798983</v>
      </c>
      <c r="AM20" s="74">
        <f>(After_Tax_Cash_Discount+1)^(AM$4-'Financial Assumptions'!$C$6+0.5)</f>
        <v>10.649951136169941</v>
      </c>
      <c r="AN20" s="74">
        <f>(After_Tax_Cash_Discount+1)^(AN$4-'Financial Assumptions'!$C$6+0.5)</f>
        <v>11.363029264443337</v>
      </c>
      <c r="AO20" s="74">
        <f>(After_Tax_Cash_Discount+1)^(AO$4-'Financial Assumptions'!$C$6+0.5)</f>
        <v>12.123852251873402</v>
      </c>
      <c r="AP20" s="74">
        <f>(After_Tax_Cash_Discount+1)^(AP$4-'Financial Assumptions'!$C$6+0.5)</f>
        <v>12.935616903249841</v>
      </c>
      <c r="AQ20" s="74">
        <f>(After_Tax_Cash_Discount+1)^(AQ$4-'Financial Assumptions'!$C$6+0.5)</f>
        <v>13.801734068623839</v>
      </c>
      <c r="AR20" s="74">
        <f>(After_Tax_Cash_Discount+1)^(AR$4-'Financial Assumptions'!$C$6+0.5)</f>
        <v>14.725842974922612</v>
      </c>
      <c r="AS20" s="74">
        <f>(After_Tax_Cash_Discount+1)^(AS$4-'Financial Assumptions'!$C$6+0.5)</f>
        <v>15.711826517151533</v>
      </c>
      <c r="AT20" s="74">
        <f>(After_Tax_Cash_Discount+1)^(AT$4-'Financial Assumptions'!$C$6+0.5)</f>
        <v>16.763827573433932</v>
      </c>
      <c r="AU20" s="74">
        <f>(After_Tax_Cash_Discount+1)^(AU$4-'Financial Assumptions'!$C$6+0.5)</f>
        <v>17.886266412440772</v>
      </c>
      <c r="AV20" s="74">
        <f>(After_Tax_Cash_Discount+1)^(AV$4-'Financial Assumptions'!$C$6+0.5)</f>
        <v>19.08385926635216</v>
      </c>
      <c r="AW20" s="74">
        <f>(After_Tax_Cash_Discount+1)^(AW$4-'Financial Assumptions'!$C$6+0.5)</f>
        <v>20.361638147390039</v>
      </c>
      <c r="AX20" s="74">
        <f>(After_Tax_Cash_Discount+1)^(AX$4-'Financial Assumptions'!$C$6+0.5)</f>
        <v>21.724971991186678</v>
      </c>
      <c r="AY20" s="74">
        <f>(After_Tax_Cash_Discount+1)^(AY$4-'Financial Assumptions'!$C$6+0.5)</f>
        <v>23.179589215828578</v>
      </c>
      <c r="AZ20" s="74">
        <f>(After_Tax_Cash_Discount+1)^(AZ$4-'Financial Assumptions'!$C$6+0.5)</f>
        <v>24.731601791363591</v>
      </c>
      <c r="BA20" s="74">
        <f>(After_Tax_Cash_Discount+1)^(BA$4-'Financial Assumptions'!$C$6+0.5)</f>
        <v>26.387530920906134</v>
      </c>
      <c r="BB20" s="74">
        <f>(After_Tax_Cash_Discount+1)^(BB$4-'Financial Assumptions'!$C$6+0.5)</f>
        <v>28.154334441246331</v>
      </c>
      <c r="BC20" s="74">
        <f>(After_Tax_Cash_Discount+1)^(BC$4-'Financial Assumptions'!$C$6+0.5)</f>
        <v>30.039436058094413</v>
      </c>
    </row>
    <row r="21" spans="1:55">
      <c r="B21" s="48" t="s">
        <v>86</v>
      </c>
      <c r="C21" s="71">
        <f>C14/C20</f>
        <v>-19162692.795586228</v>
      </c>
      <c r="D21" s="71">
        <f>D14/D20</f>
        <v>-28043228.297601942</v>
      </c>
      <c r="E21" s="71">
        <f t="shared" ref="E21:AP21" si="19">E14/E20</f>
        <v>-60389112.663979441</v>
      </c>
      <c r="F21" s="71">
        <f>F14/F20</f>
        <v>-39515067.904553093</v>
      </c>
      <c r="G21" s="71">
        <f t="shared" si="19"/>
        <v>-30447463.557473075</v>
      </c>
      <c r="H21" s="71">
        <f t="shared" si="19"/>
        <v>-23917232.895131093</v>
      </c>
      <c r="I21" s="71">
        <f t="shared" si="19"/>
        <v>-18458137.367279805</v>
      </c>
      <c r="J21" s="71">
        <f t="shared" si="19"/>
        <v>-6736030.8372402294</v>
      </c>
      <c r="K21" s="71">
        <f t="shared" si="19"/>
        <v>31923007.539346907</v>
      </c>
      <c r="L21" s="71">
        <f t="shared" si="19"/>
        <v>30490090.948686074</v>
      </c>
      <c r="M21" s="71">
        <f t="shared" si="19"/>
        <v>26087126.17358622</v>
      </c>
      <c r="N21" s="71">
        <f t="shared" si="19"/>
        <v>22485367.86172644</v>
      </c>
      <c r="O21" s="71">
        <f t="shared" si="19"/>
        <v>19671010.058990557</v>
      </c>
      <c r="P21" s="71">
        <f t="shared" si="19"/>
        <v>16889054.346512437</v>
      </c>
      <c r="Q21" s="71">
        <f t="shared" si="19"/>
        <v>14432292.554219633</v>
      </c>
      <c r="R21" s="71">
        <f t="shared" si="19"/>
        <v>12380680.115598453</v>
      </c>
      <c r="S21" s="71">
        <f t="shared" si="19"/>
        <v>10551520.430587018</v>
      </c>
      <c r="T21" s="71">
        <f t="shared" si="19"/>
        <v>8924918.585172426</v>
      </c>
      <c r="U21" s="71">
        <f t="shared" si="19"/>
        <v>7523255.6075313864</v>
      </c>
      <c r="V21" s="71">
        <f t="shared" si="19"/>
        <v>6526876.8462541709</v>
      </c>
      <c r="W21" s="71">
        <f t="shared" si="19"/>
        <v>5828466.0585829522</v>
      </c>
      <c r="X21" s="71">
        <f t="shared" si="19"/>
        <v>5192472.0683732275</v>
      </c>
      <c r="Y21" s="71">
        <f t="shared" si="19"/>
        <v>4457592.0719149988</v>
      </c>
      <c r="Z21" s="71">
        <f t="shared" si="19"/>
        <v>3713501.5844526608</v>
      </c>
      <c r="AA21" s="71">
        <f t="shared" si="19"/>
        <v>2755199.7677014912</v>
      </c>
      <c r="AB21" s="71">
        <f t="shared" si="19"/>
        <v>2022228.8871529007</v>
      </c>
      <c r="AC21" s="71">
        <f t="shared" si="19"/>
        <v>1383635.4811787703</v>
      </c>
      <c r="AD21" s="71">
        <f t="shared" si="19"/>
        <v>831944.16967375635</v>
      </c>
      <c r="AE21" s="71">
        <f t="shared" si="19"/>
        <v>358253.09646676015</v>
      </c>
      <c r="AF21" s="71">
        <f t="shared" si="19"/>
        <v>12423.052588046345</v>
      </c>
      <c r="AG21" s="71">
        <f t="shared" si="19"/>
        <v>8193.6605777296609</v>
      </c>
      <c r="AH21" s="71">
        <f t="shared" si="19"/>
        <v>5004.1163803854761</v>
      </c>
      <c r="AI21" s="71">
        <f t="shared" si="19"/>
        <v>2303.9628293063806</v>
      </c>
      <c r="AJ21" s="71">
        <f t="shared" si="19"/>
        <v>3.1437913022319836E-10</v>
      </c>
      <c r="AK21" s="71">
        <f t="shared" si="19"/>
        <v>2.9465051063323913E-10</v>
      </c>
      <c r="AL21" s="71">
        <f t="shared" si="19"/>
        <v>2.7615994533349008E-10</v>
      </c>
      <c r="AM21" s="71">
        <f t="shared" si="19"/>
        <v>2.5882974118285106E-10</v>
      </c>
      <c r="AN21" s="71">
        <f t="shared" si="19"/>
        <v>2.4258708061330645E-10</v>
      </c>
      <c r="AO21" s="71">
        <f t="shared" si="19"/>
        <v>2.2736371566710018E-10</v>
      </c>
      <c r="AP21" s="71">
        <f t="shared" si="19"/>
        <v>2.1309568123437155E-10</v>
      </c>
      <c r="AQ21" s="71">
        <f t="shared" ref="AQ21:BC21" si="20">AQ14/AQ20</f>
        <v>1.9972302628634311E-10</v>
      </c>
      <c r="AR21" s="71">
        <f t="shared" si="20"/>
        <v>1.8718956197476109E-10</v>
      </c>
      <c r="AS21" s="71">
        <f t="shared" si="20"/>
        <v>1.7544262553916098E-10</v>
      </c>
      <c r="AT21" s="71">
        <f t="shared" si="20"/>
        <v>1.6443285902995154E-10</v>
      </c>
      <c r="AU21" s="71">
        <f t="shared" si="20"/>
        <v>1.5411400191755945E-10</v>
      </c>
      <c r="AV21" s="71">
        <f t="shared" si="20"/>
        <v>1.4444269671622767E-10</v>
      </c>
      <c r="AW21" s="71">
        <f t="shared" si="20"/>
        <v>1.3537830680574236E-10</v>
      </c>
      <c r="AX21" s="71">
        <f t="shared" si="20"/>
        <v>1.2688274568561631E-10</v>
      </c>
      <c r="AY21" s="71">
        <f t="shared" si="20"/>
        <v>1.189203169442941E-10</v>
      </c>
      <c r="AZ21" s="71">
        <f t="shared" si="20"/>
        <v>1.1145756427096725E-10</v>
      </c>
      <c r="BA21" s="71">
        <f t="shared" si="20"/>
        <v>1.0446313087978066E-10</v>
      </c>
      <c r="BB21" s="71">
        <f t="shared" si="20"/>
        <v>9.7907627755765594E-11</v>
      </c>
      <c r="BC21" s="71">
        <f t="shared" si="20"/>
        <v>9.1763510168896941E-11</v>
      </c>
    </row>
    <row r="22" spans="1:55">
      <c r="B22" s="75" t="s">
        <v>87</v>
      </c>
      <c r="C22" s="76">
        <f>C21</f>
        <v>-19162692.795586228</v>
      </c>
      <c r="D22" s="76">
        <f>SUM($C21:D21)</f>
        <v>-47205921.093188167</v>
      </c>
      <c r="E22" s="76">
        <f>SUM($C21:E21)</f>
        <v>-107595033.75716761</v>
      </c>
      <c r="F22" s="76">
        <f>SUM($C21:F21)</f>
        <v>-147110101.66172069</v>
      </c>
      <c r="G22" s="76">
        <f>SUM($C21:G21)</f>
        <v>-177557565.21919376</v>
      </c>
      <c r="H22" s="76">
        <f>SUM($C21:H21)</f>
        <v>-201474798.11432484</v>
      </c>
      <c r="I22" s="76">
        <f>SUM($C21:I21)</f>
        <v>-219932935.48160464</v>
      </c>
      <c r="J22" s="76">
        <f>SUM($C21:J21)</f>
        <v>-226668966.31884485</v>
      </c>
      <c r="K22" s="76">
        <f>SUM($C21:K21)</f>
        <v>-194745958.77949795</v>
      </c>
      <c r="L22" s="76">
        <f>SUM($C21:L21)</f>
        <v>-164255867.83081189</v>
      </c>
      <c r="M22" s="76">
        <f>SUM($C21:M21)</f>
        <v>-138168741.65722567</v>
      </c>
      <c r="N22" s="76">
        <f>SUM($C21:N21)</f>
        <v>-115683373.79549924</v>
      </c>
      <c r="O22" s="76">
        <f>SUM($C21:O21)</f>
        <v>-96012363.736508682</v>
      </c>
      <c r="P22" s="76">
        <f>SUM($C21:P21)</f>
        <v>-79123309.389996246</v>
      </c>
      <c r="Q22" s="76">
        <f>SUM($C21:Q21)</f>
        <v>-64691016.835776612</v>
      </c>
      <c r="R22" s="76">
        <f>SUM($C21:R21)</f>
        <v>-52310336.720178157</v>
      </c>
      <c r="S22" s="76">
        <f>SUM($C21:S21)</f>
        <v>-41758816.289591141</v>
      </c>
      <c r="T22" s="76">
        <f>SUM($C21:T21)</f>
        <v>-32833897.704418715</v>
      </c>
      <c r="U22" s="76">
        <f>SUM($C21:U21)</f>
        <v>-25310642.096887328</v>
      </c>
      <c r="V22" s="76">
        <f>SUM($C21:V21)</f>
        <v>-18783765.250633158</v>
      </c>
      <c r="W22" s="76">
        <f>SUM($C21:W21)</f>
        <v>-12955299.192050206</v>
      </c>
      <c r="X22" s="76">
        <f>SUM($C21:X21)</f>
        <v>-7762827.1236769781</v>
      </c>
      <c r="Y22" s="76">
        <f>SUM($C21:Y21)</f>
        <v>-3305235.0517619792</v>
      </c>
      <c r="Z22" s="76">
        <f>SUM($C21:Z21)</f>
        <v>408266.53269068152</v>
      </c>
      <c r="AA22" s="76">
        <f>SUM($C21:AA21)</f>
        <v>3163466.3003921728</v>
      </c>
      <c r="AB22" s="76">
        <f>SUM($C21:AB21)</f>
        <v>5185695.1875450732</v>
      </c>
      <c r="AC22" s="76">
        <f>SUM($C21:AC21)</f>
        <v>6569330.668723844</v>
      </c>
      <c r="AD22" s="76">
        <f>SUM($C21:AD21)</f>
        <v>7401274.8383976007</v>
      </c>
      <c r="AE22" s="76">
        <f>SUM($C21:AE21)</f>
        <v>7759527.9348643608</v>
      </c>
      <c r="AF22" s="76">
        <f>SUM($C21:AF21)</f>
        <v>7771950.9874524074</v>
      </c>
      <c r="AG22" s="76">
        <f>SUM($C21:AG21)</f>
        <v>7780144.6480301367</v>
      </c>
      <c r="AH22" s="76">
        <f>SUM($C21:AH21)</f>
        <v>7785148.7644105218</v>
      </c>
      <c r="AI22" s="76">
        <f>SUM($C21:AI21)</f>
        <v>7787452.7272398286</v>
      </c>
      <c r="AJ22" s="76">
        <f>SUM($C21:AJ21)</f>
        <v>7787452.7272398286</v>
      </c>
      <c r="AK22" s="76">
        <f>SUM($C21:AK21)</f>
        <v>7787452.7272398286</v>
      </c>
      <c r="AL22" s="76">
        <f>SUM($C21:AL21)</f>
        <v>7787452.7272398286</v>
      </c>
      <c r="AM22" s="76">
        <f>SUM($C21:AM21)</f>
        <v>7787452.7272398286</v>
      </c>
      <c r="AN22" s="76">
        <f>SUM($C21:AN21)</f>
        <v>7787452.7272398286</v>
      </c>
      <c r="AO22" s="76">
        <f>SUM($C21:AO21)</f>
        <v>7787452.7272398286</v>
      </c>
      <c r="AP22" s="76">
        <f>SUM($C21:AP21)</f>
        <v>7787452.7272398286</v>
      </c>
      <c r="AQ22" s="76">
        <f>SUM($C21:AQ21)</f>
        <v>7787452.7272398286</v>
      </c>
      <c r="AR22" s="76">
        <f>SUM($C21:AR21)</f>
        <v>7787452.7272398286</v>
      </c>
      <c r="AS22" s="76">
        <f>SUM($C21:AS21)</f>
        <v>7787452.7272398286</v>
      </c>
      <c r="AT22" s="76">
        <f>SUM($C21:AT21)</f>
        <v>7787452.7272398286</v>
      </c>
      <c r="AU22" s="76">
        <f>SUM($C21:AU21)</f>
        <v>7787452.7272398286</v>
      </c>
      <c r="AV22" s="76">
        <f>SUM($C21:AV21)</f>
        <v>7787452.7272398286</v>
      </c>
      <c r="AW22" s="76">
        <f>SUM($C21:AW21)</f>
        <v>7787452.7272398286</v>
      </c>
      <c r="AX22" s="76">
        <f>SUM($C21:AX21)</f>
        <v>7787452.7272398286</v>
      </c>
      <c r="AY22" s="76">
        <f>SUM($C21:AY21)</f>
        <v>7787452.7272398286</v>
      </c>
      <c r="AZ22" s="76">
        <f>SUM($C21:AZ21)</f>
        <v>7787452.7272398286</v>
      </c>
      <c r="BA22" s="76">
        <f>SUM($C21:BA21)</f>
        <v>7787452.7272398286</v>
      </c>
      <c r="BB22" s="76">
        <f>SUM($C21:BB21)</f>
        <v>7787452.7272398286</v>
      </c>
      <c r="BC22" s="76">
        <f>SUM($C21:BC21)</f>
        <v>7787452.7272398286</v>
      </c>
    </row>
    <row r="23" spans="1:55">
      <c r="B23" s="75"/>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row>
    <row r="24" spans="1:55" ht="15" thickBot="1">
      <c r="B24" s="264" t="s">
        <v>89</v>
      </c>
      <c r="C24" s="265">
        <f>SUM(C21:BC21)</f>
        <v>7787452.7272398286</v>
      </c>
    </row>
    <row r="25" spans="1:55" ht="15" thickTop="1">
      <c r="B25" s="53"/>
      <c r="C25" s="336"/>
    </row>
    <row r="26" spans="1:55">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row>
    <row r="27" spans="1:55">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row>
    <row r="28" spans="1:55">
      <c r="B28" s="282" t="s">
        <v>175</v>
      </c>
    </row>
    <row r="29" spans="1:55" s="284" customFormat="1">
      <c r="A29" s="281"/>
      <c r="B29" s="282" t="s">
        <v>130</v>
      </c>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c r="AR29" s="283"/>
      <c r="AS29" s="283"/>
      <c r="AT29" s="283"/>
      <c r="AU29" s="283"/>
      <c r="AV29" s="283"/>
      <c r="AW29" s="283"/>
      <c r="AX29" s="283"/>
      <c r="AY29" s="283"/>
      <c r="AZ29" s="283"/>
      <c r="BA29" s="283"/>
      <c r="BB29" s="283"/>
      <c r="BC29" s="283"/>
    </row>
    <row r="30" spans="1:55" s="285" customFormat="1">
      <c r="A30" s="49"/>
      <c r="B30" s="48" t="s">
        <v>101</v>
      </c>
      <c r="C30" s="47">
        <f t="shared" ref="C30:AH30" si="21">C14</f>
        <v>-19793828.009456668</v>
      </c>
      <c r="D30" s="47">
        <f t="shared" si="21"/>
        <v>-30906353.848851658</v>
      </c>
      <c r="E30" s="47">
        <f t="shared" si="21"/>
        <v>-71010884.682268471</v>
      </c>
      <c r="F30" s="47">
        <f t="shared" si="21"/>
        <v>-49576460.547884166</v>
      </c>
      <c r="G30" s="47">
        <f t="shared" si="21"/>
        <v>-40757770.013271004</v>
      </c>
      <c r="H30" s="47">
        <f t="shared" si="21"/>
        <v>-34159911.552578755</v>
      </c>
      <c r="I30" s="47">
        <f t="shared" si="21"/>
        <v>-28128086.487562023</v>
      </c>
      <c r="J30" s="47">
        <f t="shared" si="21"/>
        <v>-10952238.477884702</v>
      </c>
      <c r="K30" s="47">
        <f t="shared" si="21"/>
        <v>55379513.410377629</v>
      </c>
      <c r="L30" s="47">
        <f t="shared" si="21"/>
        <v>56435264.504224241</v>
      </c>
      <c r="M30" s="47">
        <f t="shared" si="21"/>
        <v>51518664.182437345</v>
      </c>
      <c r="N30" s="47">
        <f t="shared" si="21"/>
        <v>47378887.851342909</v>
      </c>
      <c r="O30" s="47">
        <f t="shared" si="21"/>
        <v>44224001.442363314</v>
      </c>
      <c r="P30" s="47">
        <f t="shared" si="21"/>
        <v>40511956.554084934</v>
      </c>
      <c r="Q30" s="47">
        <f t="shared" si="21"/>
        <v>36936838.356594309</v>
      </c>
      <c r="R30" s="47">
        <f t="shared" si="21"/>
        <v>33807683.018708855</v>
      </c>
      <c r="S30" s="47">
        <f t="shared" si="21"/>
        <v>30742024.140222687</v>
      </c>
      <c r="T30" s="47">
        <f t="shared" si="21"/>
        <v>27743943.295355991</v>
      </c>
      <c r="U30" s="47">
        <f t="shared" si="21"/>
        <v>24952625.73136878</v>
      </c>
      <c r="V30" s="47">
        <f t="shared" si="21"/>
        <v>23097361.057389826</v>
      </c>
      <c r="W30" s="47">
        <f t="shared" si="21"/>
        <v>22006842.072535563</v>
      </c>
      <c r="X30" s="47">
        <f t="shared" si="21"/>
        <v>20918191.481092606</v>
      </c>
      <c r="Y30" s="47">
        <f t="shared" si="21"/>
        <v>19160057.030076355</v>
      </c>
      <c r="Z30" s="47">
        <f t="shared" si="21"/>
        <v>17030468.629316203</v>
      </c>
      <c r="AA30" s="47">
        <f t="shared" si="21"/>
        <v>13481635.724352872</v>
      </c>
      <c r="AB30" s="47">
        <f t="shared" si="21"/>
        <v>10557627.016320163</v>
      </c>
      <c r="AC30" s="47">
        <f t="shared" si="21"/>
        <v>7707334.4562991653</v>
      </c>
      <c r="AD30" s="47">
        <f t="shared" si="21"/>
        <v>4944509.4088509399</v>
      </c>
      <c r="AE30" s="47">
        <f t="shared" si="21"/>
        <v>2271775.8993526683</v>
      </c>
      <c r="AF30" s="47">
        <f t="shared" si="21"/>
        <v>84052.448411147634</v>
      </c>
      <c r="AG30" s="47">
        <f t="shared" si="21"/>
        <v>59148.879853282626</v>
      </c>
      <c r="AH30" s="47">
        <f t="shared" si="21"/>
        <v>38542.72946211246</v>
      </c>
      <c r="AI30" s="47">
        <f t="shared" ref="AI30:BC30" si="22">AI14</f>
        <v>18933.767651923343</v>
      </c>
      <c r="AJ30" s="47">
        <f t="shared" si="22"/>
        <v>2.7565240961848763E-9</v>
      </c>
      <c r="AK30" s="47">
        <f t="shared" si="22"/>
        <v>2.7565240961848763E-9</v>
      </c>
      <c r="AL30" s="47">
        <f t="shared" si="22"/>
        <v>2.7565240961848763E-9</v>
      </c>
      <c r="AM30" s="47">
        <f t="shared" si="22"/>
        <v>2.7565240961848763E-9</v>
      </c>
      <c r="AN30" s="47">
        <f t="shared" si="22"/>
        <v>2.7565240961848763E-9</v>
      </c>
      <c r="AO30" s="47">
        <f t="shared" si="22"/>
        <v>2.7565240961848763E-9</v>
      </c>
      <c r="AP30" s="47">
        <f t="shared" si="22"/>
        <v>2.7565240961848763E-9</v>
      </c>
      <c r="AQ30" s="47">
        <f t="shared" si="22"/>
        <v>2.7565240961848763E-9</v>
      </c>
      <c r="AR30" s="47">
        <f t="shared" si="22"/>
        <v>2.7565240961848763E-9</v>
      </c>
      <c r="AS30" s="47">
        <f t="shared" si="22"/>
        <v>2.7565240961848763E-9</v>
      </c>
      <c r="AT30" s="47">
        <f t="shared" si="22"/>
        <v>2.7565240961848763E-9</v>
      </c>
      <c r="AU30" s="47">
        <f t="shared" si="22"/>
        <v>2.7565240961848763E-9</v>
      </c>
      <c r="AV30" s="47">
        <f t="shared" si="22"/>
        <v>2.7565240961848763E-9</v>
      </c>
      <c r="AW30" s="47">
        <f t="shared" si="22"/>
        <v>2.7565240961848763E-9</v>
      </c>
      <c r="AX30" s="47">
        <f t="shared" si="22"/>
        <v>2.7565240961848763E-9</v>
      </c>
      <c r="AY30" s="47">
        <f t="shared" si="22"/>
        <v>2.7565240961848763E-9</v>
      </c>
      <c r="AZ30" s="47">
        <f t="shared" si="22"/>
        <v>2.7565240961848763E-9</v>
      </c>
      <c r="BA30" s="47">
        <f t="shared" si="22"/>
        <v>2.7565240961848763E-9</v>
      </c>
      <c r="BB30" s="47">
        <f t="shared" si="22"/>
        <v>2.7565240961848763E-9</v>
      </c>
      <c r="BC30" s="47">
        <f t="shared" si="22"/>
        <v>2.7565240961848763E-9</v>
      </c>
    </row>
    <row r="31" spans="1:55" s="285" customFormat="1">
      <c r="A31" s="49"/>
      <c r="B31" s="48" t="s">
        <v>102</v>
      </c>
      <c r="C31" s="47">
        <f>-'Income Statement (Results)'!C6*0.65*(1-Revenue_Taxes)</f>
        <v>307135.2899137034</v>
      </c>
      <c r="D31" s="47">
        <f>-'Income Statement (Results)'!D6*0.65*(1-Revenue_Taxes)</f>
        <v>3584401.3747047563</v>
      </c>
      <c r="E31" s="47">
        <f>-'Income Statement (Results)'!E6*0.65*(1-Revenue_Taxes)</f>
        <v>1855942.3734771546</v>
      </c>
      <c r="F31" s="47">
        <f>-'Income Statement (Results)'!F6*0.65*(1-Revenue_Taxes)</f>
        <v>1400649.5984561886</v>
      </c>
      <c r="G31" s="47">
        <f>-'Income Statement (Results)'!G6*0.65*(1-Revenue_Taxes)</f>
        <v>-6985705.1523601878</v>
      </c>
      <c r="H31" s="47">
        <f>-'Income Statement (Results)'!H6*0.65*(1-Revenue_Taxes)</f>
        <v>-12242620.885871943</v>
      </c>
      <c r="I31" s="47">
        <f>-'Income Statement (Results)'!I6*0.65*(1-Revenue_Taxes)</f>
        <v>-16516826.341516986</v>
      </c>
      <c r="J31" s="47">
        <f>-'Income Statement (Results)'!J6*0.65*(1-Revenue_Taxes)</f>
        <v>-20581575.752225712</v>
      </c>
      <c r="K31" s="47">
        <f>-'Income Statement (Results)'!K6*0.65*(1-Revenue_Taxes)</f>
        <v>-23945824.534417409</v>
      </c>
      <c r="L31" s="47">
        <f>-'Income Statement (Results)'!L6*0.65*(1-Revenue_Taxes)</f>
        <v>-24373179.580872033</v>
      </c>
      <c r="M31" s="47">
        <f>-'Income Statement (Results)'!M6*0.65*(1-Revenue_Taxes)</f>
        <v>-19755585.176393129</v>
      </c>
      <c r="N31" s="47">
        <f>-'Income Statement (Results)'!N6*0.65*(1-Revenue_Taxes)</f>
        <v>-15786095.487848604</v>
      </c>
      <c r="O31" s="47">
        <f>-'Income Statement (Results)'!O6*0.65*(1-Revenue_Taxes)</f>
        <v>-11756439.272300838</v>
      </c>
      <c r="P31" s="47">
        <f>-'Income Statement (Results)'!P6*0.65*(1-Revenue_Taxes)</f>
        <v>-7536268.4753361996</v>
      </c>
      <c r="Q31" s="47">
        <f>-'Income Statement (Results)'!Q6*0.65*(1-Revenue_Taxes)</f>
        <v>-3257710.7248909757</v>
      </c>
      <c r="R31" s="47">
        <f>-'Income Statement (Results)'!R6*0.65*(1-Revenue_Taxes)</f>
        <v>599450.83085881721</v>
      </c>
      <c r="S31" s="47">
        <f>-'Income Statement (Results)'!S6*0.65*(1-Revenue_Taxes)</f>
        <v>5048808.9135541609</v>
      </c>
      <c r="T31" s="47">
        <f>-'Income Statement (Results)'!T6*0.65*(1-Revenue_Taxes)</f>
        <v>9176317.1185059156</v>
      </c>
      <c r="U31" s="47">
        <f>-'Income Statement (Results)'!U6*0.65*(1-Revenue_Taxes)</f>
        <v>12238019.776938407</v>
      </c>
      <c r="V31" s="47">
        <f>-'Income Statement (Results)'!V6*0.65*(1-Revenue_Taxes)</f>
        <v>14366826.726794366</v>
      </c>
      <c r="W31" s="47">
        <f>-'Income Statement (Results)'!W6*0.65*(1-Revenue_Taxes)</f>
        <v>15711002.055713734</v>
      </c>
      <c r="X31" s="47">
        <f>-'Income Statement (Results)'!X6*0.65*(1-Revenue_Taxes)</f>
        <v>17062249.184397884</v>
      </c>
      <c r="Y31" s="47">
        <f>-'Income Statement (Results)'!Y6*0.65*(1-Revenue_Taxes)</f>
        <v>-19153592.00184691</v>
      </c>
      <c r="Z31" s="47">
        <f>-'Income Statement (Results)'!Z6*0.65*(1-Revenue_Taxes)</f>
        <v>-17030468.629316196</v>
      </c>
      <c r="AA31" s="47">
        <f>-'Income Statement (Results)'!AA6*0.65*(1-Revenue_Taxes)</f>
        <v>-13481635.72435287</v>
      </c>
      <c r="AB31" s="47">
        <f>-'Income Statement (Results)'!AB6*0.65*(1-Revenue_Taxes)</f>
        <v>-10557627.016320162</v>
      </c>
      <c r="AC31" s="47">
        <f>-'Income Statement (Results)'!AC6*0.65*(1-Revenue_Taxes)</f>
        <v>-7707334.4562991643</v>
      </c>
      <c r="AD31" s="47">
        <f>-'Income Statement (Results)'!AD6*0.65*(1-Revenue_Taxes)</f>
        <v>-4944509.4088509399</v>
      </c>
      <c r="AE31" s="47">
        <f>-'Income Statement (Results)'!AE6*0.65*(1-Revenue_Taxes)</f>
        <v>-2271775.8993526674</v>
      </c>
      <c r="AF31" s="47">
        <f>-'Income Statement (Results)'!AF6*0.65*(1-Revenue_Taxes)</f>
        <v>-84052.448411147634</v>
      </c>
      <c r="AG31" s="47">
        <f>-'Income Statement (Results)'!AG6*0.65*(1-Revenue_Taxes)</f>
        <v>-59148.879853282626</v>
      </c>
      <c r="AH31" s="47">
        <f>-'Income Statement (Results)'!AH6*0.65*(1-Revenue_Taxes)</f>
        <v>-38542.72946211246</v>
      </c>
      <c r="AI31" s="47">
        <f>-'Income Statement (Results)'!AI6*0.65*(1-Revenue_Taxes)</f>
        <v>-18933.767651923343</v>
      </c>
      <c r="AJ31" s="47">
        <f>-'Income Statement (Results)'!AJ6*0.65*(1-Revenue_Taxes)</f>
        <v>-2.7565240961848763E-9</v>
      </c>
      <c r="AK31" s="47">
        <f>-'Income Statement (Results)'!AK6*0.65*(1-Revenue_Taxes)</f>
        <v>-2.7565240961848763E-9</v>
      </c>
      <c r="AL31" s="47">
        <f>-'Income Statement (Results)'!AL6*0.65*(1-Revenue_Taxes)</f>
        <v>-2.7565240961848763E-9</v>
      </c>
      <c r="AM31" s="47">
        <f>-'Income Statement (Results)'!AM6*0.65*(1-Revenue_Taxes)</f>
        <v>-2.7565240961848763E-9</v>
      </c>
      <c r="AN31" s="47">
        <f>-'Income Statement (Results)'!AN6*0.65*(1-Revenue_Taxes)</f>
        <v>-2.7565240961848763E-9</v>
      </c>
      <c r="AO31" s="47">
        <f>-'Income Statement (Results)'!AO6*0.65*(1-Revenue_Taxes)</f>
        <v>-2.7565240961848763E-9</v>
      </c>
      <c r="AP31" s="47">
        <f>-'Income Statement (Results)'!AP6*0.65*(1-Revenue_Taxes)</f>
        <v>-2.7565240961848763E-9</v>
      </c>
      <c r="AQ31" s="47">
        <f>-'Income Statement (Results)'!AQ6*0.65*(1-Revenue_Taxes)</f>
        <v>-2.7565240961848763E-9</v>
      </c>
      <c r="AR31" s="47">
        <f>-'Income Statement (Results)'!AR6*0.65*(1-Revenue_Taxes)</f>
        <v>-2.7565240961848763E-9</v>
      </c>
      <c r="AS31" s="47">
        <f>-'Income Statement (Results)'!AS6*0.65*(1-Revenue_Taxes)</f>
        <v>-2.7565240961848763E-9</v>
      </c>
      <c r="AT31" s="47">
        <f>-'Income Statement (Results)'!AT6*0.65*(1-Revenue_Taxes)</f>
        <v>-2.7565240961848763E-9</v>
      </c>
      <c r="AU31" s="47">
        <f>-'Income Statement (Results)'!AU6*0.65*(1-Revenue_Taxes)</f>
        <v>-2.7565240961848763E-9</v>
      </c>
      <c r="AV31" s="47">
        <f>-'Income Statement (Results)'!AV6*0.65*(1-Revenue_Taxes)</f>
        <v>-2.7565240961848763E-9</v>
      </c>
      <c r="AW31" s="47">
        <f>-'Income Statement (Results)'!AW6*0.65*(1-Revenue_Taxes)</f>
        <v>-2.7565240961848763E-9</v>
      </c>
      <c r="AX31" s="47">
        <f>-'Income Statement (Results)'!AX6*0.65*(1-Revenue_Taxes)</f>
        <v>-2.7565240961848763E-9</v>
      </c>
      <c r="AY31" s="47">
        <f>-'Income Statement (Results)'!AY6*0.65*(1-Revenue_Taxes)</f>
        <v>-2.7565240961848763E-9</v>
      </c>
      <c r="AZ31" s="47">
        <f>-'Income Statement (Results)'!AZ6*0.65*(1-Revenue_Taxes)</f>
        <v>-2.7565240961848763E-9</v>
      </c>
      <c r="BA31" s="47">
        <f>-'Income Statement (Results)'!BA6*0.65*(1-Revenue_Taxes)</f>
        <v>-2.7565240961848763E-9</v>
      </c>
      <c r="BB31" s="47">
        <f>-'Income Statement (Results)'!BB6*0.65*(1-Revenue_Taxes)</f>
        <v>-2.7565240961848763E-9</v>
      </c>
      <c r="BC31" s="47">
        <f>-'Income Statement (Results)'!BC6*0.65*(1-Revenue_Taxes)</f>
        <v>-2.7565240961848763E-9</v>
      </c>
    </row>
    <row r="32" spans="1:55" s="285" customFormat="1">
      <c r="A32" s="49"/>
      <c r="B32" s="48" t="s">
        <v>103</v>
      </c>
      <c r="C32" s="47">
        <f>SUM(C30:C31)</f>
        <v>-19486692.719542965</v>
      </c>
      <c r="D32" s="47">
        <f>SUM(D30:D31)</f>
        <v>-27321952.474146903</v>
      </c>
      <c r="E32" s="47">
        <f>SUM(E30:E31)</f>
        <v>-69154942.30879131</v>
      </c>
      <c r="F32" s="47">
        <f t="shared" ref="F32:AP32" si="23">SUM(F30:F31)</f>
        <v>-48175810.949427977</v>
      </c>
      <c r="G32" s="47">
        <f t="shared" si="23"/>
        <v>-47743475.16563119</v>
      </c>
      <c r="H32" s="47">
        <f>SUM(H30:H31)</f>
        <v>-46402532.438450694</v>
      </c>
      <c r="I32" s="47">
        <f t="shared" si="23"/>
        <v>-44644912.82907901</v>
      </c>
      <c r="J32" s="47">
        <f t="shared" si="23"/>
        <v>-31533814.230110414</v>
      </c>
      <c r="K32" s="47">
        <f t="shared" si="23"/>
        <v>31433688.87596022</v>
      </c>
      <c r="L32" s="47">
        <f t="shared" si="23"/>
        <v>32062084.923352208</v>
      </c>
      <c r="M32" s="47">
        <f>SUM(M30:M31)</f>
        <v>31763079.006044216</v>
      </c>
      <c r="N32" s="47">
        <f t="shared" si="23"/>
        <v>31592792.363494307</v>
      </c>
      <c r="O32" s="47">
        <f t="shared" si="23"/>
        <v>32467562.170062475</v>
      </c>
      <c r="P32" s="47">
        <f t="shared" si="23"/>
        <v>32975688.078748733</v>
      </c>
      <c r="Q32" s="47">
        <f t="shared" si="23"/>
        <v>33679127.631703332</v>
      </c>
      <c r="R32" s="47">
        <f t="shared" si="23"/>
        <v>34407133.849567674</v>
      </c>
      <c r="S32" s="47">
        <f t="shared" si="23"/>
        <v>35790833.053776845</v>
      </c>
      <c r="T32" s="47">
        <f t="shared" si="23"/>
        <v>36920260.413861908</v>
      </c>
      <c r="U32" s="47">
        <f t="shared" si="23"/>
        <v>37190645.508307189</v>
      </c>
      <c r="V32" s="47">
        <f t="shared" si="23"/>
        <v>37464187.784184188</v>
      </c>
      <c r="W32" s="47">
        <f t="shared" si="23"/>
        <v>37717844.128249295</v>
      </c>
      <c r="X32" s="47">
        <f t="shared" si="23"/>
        <v>37980440.665490493</v>
      </c>
      <c r="Y32" s="47">
        <f t="shared" si="23"/>
        <v>6465.028229445219</v>
      </c>
      <c r="Z32" s="47">
        <f t="shared" si="23"/>
        <v>0</v>
      </c>
      <c r="AA32" s="47">
        <f t="shared" si="23"/>
        <v>0</v>
      </c>
      <c r="AB32" s="47">
        <f t="shared" si="23"/>
        <v>0</v>
      </c>
      <c r="AC32" s="47">
        <f t="shared" si="23"/>
        <v>0</v>
      </c>
      <c r="AD32" s="47">
        <f t="shared" si="23"/>
        <v>0</v>
      </c>
      <c r="AE32" s="47">
        <f t="shared" si="23"/>
        <v>0</v>
      </c>
      <c r="AF32" s="47">
        <f t="shared" si="23"/>
        <v>0</v>
      </c>
      <c r="AG32" s="47">
        <f t="shared" si="23"/>
        <v>0</v>
      </c>
      <c r="AH32" s="47">
        <f t="shared" si="23"/>
        <v>0</v>
      </c>
      <c r="AI32" s="47">
        <f t="shared" si="23"/>
        <v>0</v>
      </c>
      <c r="AJ32" s="47">
        <f t="shared" si="23"/>
        <v>0</v>
      </c>
      <c r="AK32" s="47">
        <f t="shared" si="23"/>
        <v>0</v>
      </c>
      <c r="AL32" s="47">
        <f t="shared" si="23"/>
        <v>0</v>
      </c>
      <c r="AM32" s="47">
        <f t="shared" si="23"/>
        <v>0</v>
      </c>
      <c r="AN32" s="47">
        <f t="shared" si="23"/>
        <v>0</v>
      </c>
      <c r="AO32" s="47">
        <f t="shared" si="23"/>
        <v>0</v>
      </c>
      <c r="AP32" s="47">
        <f t="shared" si="23"/>
        <v>0</v>
      </c>
      <c r="AQ32" s="47">
        <f t="shared" ref="AQ32:BC32" si="24">SUM(AQ30:AQ31)</f>
        <v>0</v>
      </c>
      <c r="AR32" s="47">
        <f t="shared" si="24"/>
        <v>0</v>
      </c>
      <c r="AS32" s="47">
        <f t="shared" si="24"/>
        <v>0</v>
      </c>
      <c r="AT32" s="47">
        <f t="shared" si="24"/>
        <v>0</v>
      </c>
      <c r="AU32" s="47">
        <f t="shared" si="24"/>
        <v>0</v>
      </c>
      <c r="AV32" s="47">
        <f t="shared" si="24"/>
        <v>0</v>
      </c>
      <c r="AW32" s="47">
        <f t="shared" si="24"/>
        <v>0</v>
      </c>
      <c r="AX32" s="47">
        <f t="shared" si="24"/>
        <v>0</v>
      </c>
      <c r="AY32" s="47">
        <f t="shared" si="24"/>
        <v>0</v>
      </c>
      <c r="AZ32" s="47">
        <f t="shared" si="24"/>
        <v>0</v>
      </c>
      <c r="BA32" s="47">
        <f t="shared" si="24"/>
        <v>0</v>
      </c>
      <c r="BB32" s="47">
        <f t="shared" si="24"/>
        <v>0</v>
      </c>
      <c r="BC32" s="47">
        <f t="shared" si="24"/>
        <v>0</v>
      </c>
    </row>
    <row r="33" spans="1:55" s="285" customFormat="1">
      <c r="A33" s="49"/>
      <c r="B33" s="48" t="s">
        <v>116</v>
      </c>
      <c r="C33" s="78">
        <f t="shared" ref="C33:AH33" si="25">C20</f>
        <v>1.032935622388927</v>
      </c>
      <c r="D33" s="78">
        <f t="shared" si="25"/>
        <v>1.1020968599216001</v>
      </c>
      <c r="E33" s="78">
        <f t="shared" si="25"/>
        <v>1.1758888572745108</v>
      </c>
      <c r="F33" s="78">
        <f t="shared" si="25"/>
        <v>1.254621671602183</v>
      </c>
      <c r="G33" s="78">
        <f t="shared" si="25"/>
        <v>1.3386261202459786</v>
      </c>
      <c r="H33" s="78">
        <f t="shared" si="25"/>
        <v>1.4282551707531683</v>
      </c>
      <c r="I33" s="78">
        <f t="shared" si="25"/>
        <v>1.5238854239661175</v>
      </c>
      <c r="J33" s="78">
        <f t="shared" si="25"/>
        <v>1.6259186964131929</v>
      </c>
      <c r="K33" s="78">
        <f t="shared" si="25"/>
        <v>1.7347837086502347</v>
      </c>
      <c r="L33" s="78">
        <f t="shared" si="25"/>
        <v>1.85093788664662</v>
      </c>
      <c r="M33" s="78">
        <f t="shared" si="25"/>
        <v>1.9748692837849311</v>
      </c>
      <c r="N33" s="78">
        <f t="shared" si="25"/>
        <v>2.1070986315500346</v>
      </c>
      <c r="O33" s="78">
        <f t="shared" si="25"/>
        <v>2.2481815275240993</v>
      </c>
      <c r="P33" s="78">
        <f t="shared" si="25"/>
        <v>2.3987107698810024</v>
      </c>
      <c r="Q33" s="78">
        <f t="shared" si="25"/>
        <v>2.5593188481891551</v>
      </c>
      <c r="R33" s="78">
        <f t="shared" si="25"/>
        <v>2.7306806009885078</v>
      </c>
      <c r="S33" s="78">
        <f t="shared" si="25"/>
        <v>2.9135160513082949</v>
      </c>
      <c r="T33" s="78">
        <f t="shared" si="25"/>
        <v>3.1085934320396928</v>
      </c>
      <c r="U33" s="78">
        <f t="shared" si="25"/>
        <v>3.3167324138753425</v>
      </c>
      <c r="V33" s="78">
        <f t="shared" si="25"/>
        <v>3.5388075493787805</v>
      </c>
      <c r="W33" s="78">
        <f t="shared" si="25"/>
        <v>3.7757519476549861</v>
      </c>
      <c r="X33" s="78">
        <f t="shared" si="25"/>
        <v>4.0285611950621734</v>
      </c>
      <c r="Y33" s="78">
        <f t="shared" si="25"/>
        <v>4.2982975384387565</v>
      </c>
      <c r="Z33" s="78">
        <f t="shared" si="25"/>
        <v>4.5860943484224617</v>
      </c>
      <c r="AA33" s="78">
        <f t="shared" si="25"/>
        <v>4.8931608816154357</v>
      </c>
      <c r="AB33" s="78">
        <f t="shared" si="25"/>
        <v>5.220787361604879</v>
      </c>
      <c r="AC33" s="78">
        <f t="shared" si="25"/>
        <v>5.570350400188496</v>
      </c>
      <c r="AD33" s="78">
        <f t="shared" si="25"/>
        <v>5.9433187815835167</v>
      </c>
      <c r="AE33" s="78">
        <f t="shared" si="25"/>
        <v>6.3412596339232223</v>
      </c>
      <c r="AF33" s="78">
        <f t="shared" si="25"/>
        <v>6.7658450139721866</v>
      </c>
      <c r="AG33" s="78">
        <f t="shared" si="25"/>
        <v>7.2188589327277075</v>
      </c>
      <c r="AH33" s="78">
        <f t="shared" si="25"/>
        <v>7.7022048514274255</v>
      </c>
      <c r="AI33" s="78">
        <f t="shared" ref="AI33:BC33" si="26">AI20</f>
        <v>8.2179136794595973</v>
      </c>
      <c r="AJ33" s="78">
        <f t="shared" si="26"/>
        <v>8.7681523077814969</v>
      </c>
      <c r="AK33" s="78">
        <f t="shared" si="26"/>
        <v>9.3552327137013158</v>
      </c>
      <c r="AL33" s="78">
        <f t="shared" si="26"/>
        <v>9.9816216752798983</v>
      </c>
      <c r="AM33" s="78">
        <f t="shared" si="26"/>
        <v>10.649951136169941</v>
      </c>
      <c r="AN33" s="78">
        <f t="shared" si="26"/>
        <v>11.363029264443337</v>
      </c>
      <c r="AO33" s="78">
        <f t="shared" si="26"/>
        <v>12.123852251873402</v>
      </c>
      <c r="AP33" s="78">
        <f t="shared" si="26"/>
        <v>12.935616903249841</v>
      </c>
      <c r="AQ33" s="78">
        <f t="shared" si="26"/>
        <v>13.801734068623839</v>
      </c>
      <c r="AR33" s="78">
        <f t="shared" si="26"/>
        <v>14.725842974922612</v>
      </c>
      <c r="AS33" s="78">
        <f t="shared" si="26"/>
        <v>15.711826517151533</v>
      </c>
      <c r="AT33" s="78">
        <f t="shared" si="26"/>
        <v>16.763827573433932</v>
      </c>
      <c r="AU33" s="78">
        <f t="shared" si="26"/>
        <v>17.886266412440772</v>
      </c>
      <c r="AV33" s="78">
        <f t="shared" si="26"/>
        <v>19.08385926635216</v>
      </c>
      <c r="AW33" s="78">
        <f t="shared" si="26"/>
        <v>20.361638147390039</v>
      </c>
      <c r="AX33" s="78">
        <f t="shared" si="26"/>
        <v>21.724971991186678</v>
      </c>
      <c r="AY33" s="78">
        <f t="shared" si="26"/>
        <v>23.179589215828578</v>
      </c>
      <c r="AZ33" s="78">
        <f t="shared" si="26"/>
        <v>24.731601791363591</v>
      </c>
      <c r="BA33" s="78">
        <f t="shared" si="26"/>
        <v>26.387530920906134</v>
      </c>
      <c r="BB33" s="78">
        <f t="shared" si="26"/>
        <v>28.154334441246331</v>
      </c>
      <c r="BC33" s="78">
        <f t="shared" si="26"/>
        <v>30.039436058094413</v>
      </c>
    </row>
    <row r="34" spans="1:55" s="285" customFormat="1">
      <c r="A34" s="50"/>
      <c r="B34" s="48" t="s">
        <v>117</v>
      </c>
      <c r="C34" s="47">
        <f>C32/C33</f>
        <v>-18865350.654162765</v>
      </c>
      <c r="D34" s="47">
        <f>D32/D33</f>
        <v>-24790881.335140094</v>
      </c>
      <c r="E34" s="47">
        <f t="shared" ref="E34:AP34" si="27">E32/E33</f>
        <v>-58810781.206890129</v>
      </c>
      <c r="F34" s="47">
        <f t="shared" si="27"/>
        <v>-38398675.903554477</v>
      </c>
      <c r="G34" s="47">
        <f t="shared" si="27"/>
        <v>-35666026.864064261</v>
      </c>
      <c r="H34" s="47">
        <f>H32/H33</f>
        <v>-32488965.129376031</v>
      </c>
      <c r="I34" s="47">
        <f t="shared" si="27"/>
        <v>-29296764.787528843</v>
      </c>
      <c r="J34" s="47">
        <f t="shared" si="27"/>
        <v>-19394459.45216978</v>
      </c>
      <c r="K34" s="47">
        <f t="shared" si="27"/>
        <v>18119658.790442243</v>
      </c>
      <c r="L34" s="47">
        <f t="shared" si="27"/>
        <v>17322075.016487837</v>
      </c>
      <c r="M34" s="47">
        <f t="shared" si="27"/>
        <v>16083636.150929829</v>
      </c>
      <c r="N34" s="47">
        <f t="shared" si="27"/>
        <v>14993504.286153827</v>
      </c>
      <c r="O34" s="47">
        <f t="shared" si="27"/>
        <v>14441699.556983145</v>
      </c>
      <c r="P34" s="47">
        <f t="shared" si="27"/>
        <v>13747254.772356162</v>
      </c>
      <c r="Q34" s="47">
        <f t="shared" si="27"/>
        <v>13159410.62034259</v>
      </c>
      <c r="R34" s="47">
        <f t="shared" si="27"/>
        <v>12600204.446141476</v>
      </c>
      <c r="S34" s="47">
        <f t="shared" si="27"/>
        <v>12284412.5185805</v>
      </c>
      <c r="T34" s="47">
        <f t="shared" si="27"/>
        <v>11876837.940057283</v>
      </c>
      <c r="U34" s="47">
        <f t="shared" si="27"/>
        <v>11213037.673079219</v>
      </c>
      <c r="V34" s="47">
        <f t="shared" si="27"/>
        <v>10586670.018481461</v>
      </c>
      <c r="W34" s="47">
        <f t="shared" si="27"/>
        <v>9989492.0670503248</v>
      </c>
      <c r="X34" s="47">
        <f t="shared" si="27"/>
        <v>9427792.9083076362</v>
      </c>
      <c r="Y34" s="47">
        <f t="shared" si="27"/>
        <v>1504.0904385119579</v>
      </c>
      <c r="Z34" s="47">
        <f t="shared" si="27"/>
        <v>0</v>
      </c>
      <c r="AA34" s="47">
        <f t="shared" si="27"/>
        <v>0</v>
      </c>
      <c r="AB34" s="47">
        <f t="shared" si="27"/>
        <v>0</v>
      </c>
      <c r="AC34" s="47">
        <f t="shared" si="27"/>
        <v>0</v>
      </c>
      <c r="AD34" s="47">
        <f t="shared" si="27"/>
        <v>0</v>
      </c>
      <c r="AE34" s="47">
        <f t="shared" si="27"/>
        <v>0</v>
      </c>
      <c r="AF34" s="47">
        <f t="shared" si="27"/>
        <v>0</v>
      </c>
      <c r="AG34" s="47">
        <f t="shared" si="27"/>
        <v>0</v>
      </c>
      <c r="AH34" s="47">
        <f t="shared" si="27"/>
        <v>0</v>
      </c>
      <c r="AI34" s="47">
        <f t="shared" si="27"/>
        <v>0</v>
      </c>
      <c r="AJ34" s="47">
        <f t="shared" si="27"/>
        <v>0</v>
      </c>
      <c r="AK34" s="47">
        <f t="shared" si="27"/>
        <v>0</v>
      </c>
      <c r="AL34" s="47">
        <f t="shared" si="27"/>
        <v>0</v>
      </c>
      <c r="AM34" s="47">
        <f t="shared" si="27"/>
        <v>0</v>
      </c>
      <c r="AN34" s="47">
        <f t="shared" si="27"/>
        <v>0</v>
      </c>
      <c r="AO34" s="47">
        <f t="shared" si="27"/>
        <v>0</v>
      </c>
      <c r="AP34" s="47">
        <f t="shared" si="27"/>
        <v>0</v>
      </c>
      <c r="AQ34" s="47">
        <f t="shared" ref="AQ34:BC34" si="28">AQ32/AQ33</f>
        <v>0</v>
      </c>
      <c r="AR34" s="47">
        <f t="shared" si="28"/>
        <v>0</v>
      </c>
      <c r="AS34" s="47">
        <f t="shared" si="28"/>
        <v>0</v>
      </c>
      <c r="AT34" s="47">
        <f t="shared" si="28"/>
        <v>0</v>
      </c>
      <c r="AU34" s="47">
        <f t="shared" si="28"/>
        <v>0</v>
      </c>
      <c r="AV34" s="47">
        <f t="shared" si="28"/>
        <v>0</v>
      </c>
      <c r="AW34" s="47">
        <f t="shared" si="28"/>
        <v>0</v>
      </c>
      <c r="AX34" s="47">
        <f t="shared" si="28"/>
        <v>0</v>
      </c>
      <c r="AY34" s="47">
        <f t="shared" si="28"/>
        <v>0</v>
      </c>
      <c r="AZ34" s="47">
        <f t="shared" si="28"/>
        <v>0</v>
      </c>
      <c r="BA34" s="47">
        <f t="shared" si="28"/>
        <v>0</v>
      </c>
      <c r="BB34" s="47">
        <f t="shared" si="28"/>
        <v>0</v>
      </c>
      <c r="BC34" s="47">
        <f t="shared" si="28"/>
        <v>0</v>
      </c>
    </row>
    <row r="35" spans="1:55" s="285" customFormat="1">
      <c r="A35" s="49"/>
      <c r="B35" s="75" t="s">
        <v>87</v>
      </c>
      <c r="C35" s="76">
        <f>C32</f>
        <v>-19486692.719542965</v>
      </c>
      <c r="D35" s="76">
        <f>SUM($C34:D34)</f>
        <v>-43656231.989302859</v>
      </c>
      <c r="E35" s="76">
        <f>SUM($C34:E34)</f>
        <v>-102467013.19619298</v>
      </c>
      <c r="F35" s="76">
        <f>SUM($C34:F34)</f>
        <v>-140865689.09974745</v>
      </c>
      <c r="G35" s="76">
        <f>SUM($C34:G34)</f>
        <v>-176531715.9638117</v>
      </c>
      <c r="H35" s="76">
        <f>SUM($C34:H34)</f>
        <v>-209020681.09318772</v>
      </c>
      <c r="I35" s="76">
        <f>SUM($C34:I34)</f>
        <v>-238317445.88071656</v>
      </c>
      <c r="J35" s="76">
        <f>SUM($C34:J34)</f>
        <v>-257711905.33288634</v>
      </c>
      <c r="K35" s="76">
        <f>SUM($C34:K34)</f>
        <v>-239592246.54244411</v>
      </c>
      <c r="L35" s="76">
        <f>SUM($C34:L34)</f>
        <v>-222270171.52595627</v>
      </c>
      <c r="M35" s="76">
        <f>SUM($C34:M34)</f>
        <v>-206186535.37502643</v>
      </c>
      <c r="N35" s="76">
        <f>SUM($C34:N34)</f>
        <v>-191193031.08887261</v>
      </c>
      <c r="O35" s="76">
        <f>SUM($C34:O34)</f>
        <v>-176751331.53188947</v>
      </c>
      <c r="P35" s="76">
        <f>SUM($C34:P34)</f>
        <v>-163004076.75953332</v>
      </c>
      <c r="Q35" s="76">
        <f>SUM($C34:Q34)</f>
        <v>-149844666.13919073</v>
      </c>
      <c r="R35" s="76">
        <f>SUM($C34:R34)</f>
        <v>-137244461.69304925</v>
      </c>
      <c r="S35" s="76">
        <f>SUM($C34:S34)</f>
        <v>-124960049.17446876</v>
      </c>
      <c r="T35" s="76">
        <f>SUM($C34:T34)</f>
        <v>-113083211.23441148</v>
      </c>
      <c r="U35" s="76">
        <f>SUM($C34:U34)</f>
        <v>-101870173.56133226</v>
      </c>
      <c r="V35" s="76">
        <f>SUM($C34:V34)</f>
        <v>-91283503.542850792</v>
      </c>
      <c r="W35" s="76">
        <f>SUM($C34:W34)</f>
        <v>-81294011.47580047</v>
      </c>
      <c r="X35" s="76">
        <f>SUM($C34:X34)</f>
        <v>-71866218.567492828</v>
      </c>
      <c r="Y35" s="76">
        <f>SUM($C34:Y34)</f>
        <v>-71864714.477054313</v>
      </c>
      <c r="Z35" s="76">
        <f>SUM($C34:Z34)</f>
        <v>-71864714.477054313</v>
      </c>
      <c r="AA35" s="76">
        <f>SUM($C34:AA34)</f>
        <v>-71864714.477054313</v>
      </c>
      <c r="AB35" s="76">
        <f>SUM($C34:AB34)</f>
        <v>-71864714.477054313</v>
      </c>
      <c r="AC35" s="76">
        <f>SUM($C34:AC34)</f>
        <v>-71864714.477054313</v>
      </c>
      <c r="AD35" s="76">
        <f>SUM($C34:AD34)</f>
        <v>-71864714.477054313</v>
      </c>
      <c r="AE35" s="76">
        <f>SUM($C34:AE34)</f>
        <v>-71864714.477054313</v>
      </c>
      <c r="AF35" s="76">
        <f>SUM($C34:AF34)</f>
        <v>-71864714.477054313</v>
      </c>
      <c r="AG35" s="76">
        <f>SUM($C34:AG34)</f>
        <v>-71864714.477054313</v>
      </c>
      <c r="AH35" s="76">
        <f>SUM($C34:AH34)</f>
        <v>-71864714.477054313</v>
      </c>
      <c r="AI35" s="76">
        <f>SUM($C34:AI34)</f>
        <v>-71864714.477054313</v>
      </c>
      <c r="AJ35" s="76">
        <f>SUM($C34:AJ34)</f>
        <v>-71864714.477054313</v>
      </c>
      <c r="AK35" s="76">
        <f>SUM($C34:AK34)</f>
        <v>-71864714.477054313</v>
      </c>
      <c r="AL35" s="76">
        <f>SUM($C34:AL34)</f>
        <v>-71864714.477054313</v>
      </c>
      <c r="AM35" s="76">
        <f>SUM($C34:AM34)</f>
        <v>-71864714.477054313</v>
      </c>
      <c r="AN35" s="76">
        <f>SUM($C34:AN34)</f>
        <v>-71864714.477054313</v>
      </c>
      <c r="AO35" s="76">
        <f>SUM($C34:AO34)</f>
        <v>-71864714.477054313</v>
      </c>
      <c r="AP35" s="76">
        <f>SUM($C34:AP34)</f>
        <v>-71864714.477054313</v>
      </c>
      <c r="AQ35" s="76">
        <f>SUM($C34:AQ34)</f>
        <v>-71864714.477054313</v>
      </c>
      <c r="AR35" s="76">
        <f>SUM($C34:AR34)</f>
        <v>-71864714.477054313</v>
      </c>
      <c r="AS35" s="76">
        <f>SUM($C34:AS34)</f>
        <v>-71864714.477054313</v>
      </c>
      <c r="AT35" s="76">
        <f>SUM($C34:AT34)</f>
        <v>-71864714.477054313</v>
      </c>
      <c r="AU35" s="76">
        <f>SUM($C34:AU34)</f>
        <v>-71864714.477054313</v>
      </c>
      <c r="AV35" s="76">
        <f>SUM($C34:AV34)</f>
        <v>-71864714.477054313</v>
      </c>
      <c r="AW35" s="76">
        <f>SUM($C34:AW34)</f>
        <v>-71864714.477054313</v>
      </c>
      <c r="AX35" s="76">
        <f>SUM($C34:AX34)</f>
        <v>-71864714.477054313</v>
      </c>
      <c r="AY35" s="76">
        <f>SUM($C34:AY34)</f>
        <v>-71864714.477054313</v>
      </c>
      <c r="AZ35" s="76">
        <f>SUM($C34:AZ34)</f>
        <v>-71864714.477054313</v>
      </c>
      <c r="BA35" s="76">
        <f>SUM($C34:BA34)</f>
        <v>-71864714.477054313</v>
      </c>
      <c r="BB35" s="76">
        <f>SUM($C34:BB34)</f>
        <v>-71864714.477054313</v>
      </c>
      <c r="BC35" s="76">
        <f>SUM($C34:BC34)</f>
        <v>-71864714.477054313</v>
      </c>
    </row>
    <row r="36" spans="1:55" s="285" customFormat="1">
      <c r="A36" s="49"/>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row>
    <row r="37" spans="1:55" s="285" customFormat="1" ht="15" thickBot="1">
      <c r="A37" s="49"/>
      <c r="B37" s="264" t="s">
        <v>89</v>
      </c>
      <c r="C37" s="265">
        <f>SUM(C34:BC34)</f>
        <v>-71864714.477054313</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row>
    <row r="38" spans="1:55" ht="15" thickTop="1"/>
    <row r="39" spans="1:55">
      <c r="C39" s="47"/>
    </row>
    <row r="57" spans="1:1">
      <c r="A57" s="51"/>
    </row>
  </sheetData>
  <pageMargins left="0.75" right="0.75" top="1.75" bottom="1" header="0.5" footer="0.5"/>
  <pageSetup scale="90" fitToWidth="2" orientation="landscape" r:id="rId1"/>
  <headerFooter alignWithMargins="0">
    <oddHeader>&amp;L&amp;"PSE Logo,Regular"&amp;60&amp;G&amp;R&amp;16
Statement of Cash Flows</oddHeader>
    <oddFooter>&amp;L&amp;12&amp;F&amp;R&amp;8Page &amp;P
&amp;D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BD58"/>
  <sheetViews>
    <sheetView showGridLines="0" zoomScale="120" zoomScaleNormal="120" workbookViewId="0">
      <selection activeCell="C23" sqref="C23"/>
    </sheetView>
  </sheetViews>
  <sheetFormatPr defaultColWidth="8.81640625" defaultRowHeight="14.5"/>
  <cols>
    <col min="1" max="1" width="2" style="49" customWidth="1"/>
    <col min="2" max="2" width="31.81640625" style="3" customWidth="1"/>
    <col min="3" max="3" width="12" style="3" bestFit="1" customWidth="1"/>
    <col min="4" max="4" width="10.81640625" style="3" bestFit="1" customWidth="1"/>
    <col min="5" max="5" width="11.7265625" style="3" bestFit="1" customWidth="1"/>
    <col min="6" max="6" width="10.81640625" style="3" bestFit="1" customWidth="1"/>
    <col min="7" max="7" width="12.1796875" style="3" bestFit="1" customWidth="1"/>
    <col min="8" max="24" width="12.7265625" style="3" bestFit="1" customWidth="1"/>
    <col min="25" max="35" width="12.1796875" style="3" bestFit="1" customWidth="1"/>
    <col min="36" max="40" width="12" style="3" bestFit="1" customWidth="1"/>
    <col min="41" max="46" width="10.81640625" style="3" bestFit="1" customWidth="1"/>
    <col min="47" max="55" width="9.26953125" style="3" bestFit="1" customWidth="1"/>
    <col min="56" max="56" width="9" bestFit="1" customWidth="1"/>
    <col min="57" max="16384" width="8.81640625" style="3"/>
  </cols>
  <sheetData>
    <row r="2" spans="1:56">
      <c r="B2" s="276" t="str">
        <f>Project_Description</f>
        <v xml:space="preserve">AMI Model </v>
      </c>
    </row>
    <row r="3" spans="1:56">
      <c r="B3" s="42" t="s">
        <v>55</v>
      </c>
    </row>
    <row r="4" spans="1:56" s="42" customFormat="1">
      <c r="A4" s="49"/>
      <c r="C4" s="59">
        <f>Start_Year</f>
        <v>2016</v>
      </c>
      <c r="D4" s="59">
        <f>C4+1</f>
        <v>2017</v>
      </c>
      <c r="E4" s="59">
        <f t="shared" ref="E4:AP4" si="0">D4+1</f>
        <v>2018</v>
      </c>
      <c r="F4" s="59">
        <f t="shared" si="0"/>
        <v>2019</v>
      </c>
      <c r="G4" s="59">
        <f t="shared" si="0"/>
        <v>2020</v>
      </c>
      <c r="H4" s="59">
        <f t="shared" si="0"/>
        <v>2021</v>
      </c>
      <c r="I4" s="59">
        <f t="shared" si="0"/>
        <v>2022</v>
      </c>
      <c r="J4" s="59">
        <f t="shared" si="0"/>
        <v>2023</v>
      </c>
      <c r="K4" s="59">
        <f t="shared" si="0"/>
        <v>2024</v>
      </c>
      <c r="L4" s="59">
        <f t="shared" si="0"/>
        <v>2025</v>
      </c>
      <c r="M4" s="59">
        <f t="shared" si="0"/>
        <v>2026</v>
      </c>
      <c r="N4" s="59">
        <f t="shared" si="0"/>
        <v>2027</v>
      </c>
      <c r="O4" s="59">
        <f t="shared" si="0"/>
        <v>2028</v>
      </c>
      <c r="P4" s="59">
        <f t="shared" si="0"/>
        <v>2029</v>
      </c>
      <c r="Q4" s="59">
        <f t="shared" si="0"/>
        <v>2030</v>
      </c>
      <c r="R4" s="59">
        <f t="shared" si="0"/>
        <v>2031</v>
      </c>
      <c r="S4" s="59">
        <f t="shared" si="0"/>
        <v>2032</v>
      </c>
      <c r="T4" s="59">
        <f t="shared" si="0"/>
        <v>2033</v>
      </c>
      <c r="U4" s="59">
        <f t="shared" si="0"/>
        <v>2034</v>
      </c>
      <c r="V4" s="59">
        <f t="shared" si="0"/>
        <v>2035</v>
      </c>
      <c r="W4" s="59">
        <f t="shared" si="0"/>
        <v>2036</v>
      </c>
      <c r="X4" s="59">
        <f t="shared" si="0"/>
        <v>2037</v>
      </c>
      <c r="Y4" s="59">
        <f t="shared" si="0"/>
        <v>2038</v>
      </c>
      <c r="Z4" s="59">
        <f t="shared" si="0"/>
        <v>2039</v>
      </c>
      <c r="AA4" s="59">
        <f t="shared" si="0"/>
        <v>2040</v>
      </c>
      <c r="AB4" s="59">
        <f t="shared" si="0"/>
        <v>2041</v>
      </c>
      <c r="AC4" s="59">
        <f t="shared" si="0"/>
        <v>2042</v>
      </c>
      <c r="AD4" s="59">
        <f t="shared" si="0"/>
        <v>2043</v>
      </c>
      <c r="AE4" s="59">
        <f t="shared" si="0"/>
        <v>2044</v>
      </c>
      <c r="AF4" s="59">
        <f t="shared" si="0"/>
        <v>2045</v>
      </c>
      <c r="AG4" s="59">
        <f t="shared" si="0"/>
        <v>2046</v>
      </c>
      <c r="AH4" s="59">
        <f t="shared" si="0"/>
        <v>2047</v>
      </c>
      <c r="AI4" s="59">
        <f t="shared" si="0"/>
        <v>2048</v>
      </c>
      <c r="AJ4" s="59">
        <f t="shared" si="0"/>
        <v>2049</v>
      </c>
      <c r="AK4" s="59">
        <f t="shared" si="0"/>
        <v>2050</v>
      </c>
      <c r="AL4" s="59">
        <f t="shared" si="0"/>
        <v>2051</v>
      </c>
      <c r="AM4" s="59">
        <f t="shared" si="0"/>
        <v>2052</v>
      </c>
      <c r="AN4" s="59">
        <f t="shared" si="0"/>
        <v>2053</v>
      </c>
      <c r="AO4" s="59">
        <f t="shared" si="0"/>
        <v>2054</v>
      </c>
      <c r="AP4" s="59">
        <f t="shared" si="0"/>
        <v>2055</v>
      </c>
      <c r="AQ4" s="59">
        <f t="shared" ref="AQ4" si="1">AP4+1</f>
        <v>2056</v>
      </c>
      <c r="AR4" s="59">
        <f t="shared" ref="AR4" si="2">AQ4+1</f>
        <v>2057</v>
      </c>
      <c r="AS4" s="59">
        <f t="shared" ref="AS4" si="3">AR4+1</f>
        <v>2058</v>
      </c>
      <c r="AT4" s="59">
        <f t="shared" ref="AT4" si="4">AS4+1</f>
        <v>2059</v>
      </c>
      <c r="AU4" s="59">
        <f t="shared" ref="AU4" si="5">AT4+1</f>
        <v>2060</v>
      </c>
      <c r="AV4" s="59">
        <f t="shared" ref="AV4" si="6">AU4+1</f>
        <v>2061</v>
      </c>
      <c r="AW4" s="59">
        <f t="shared" ref="AW4" si="7">AV4+1</f>
        <v>2062</v>
      </c>
      <c r="AX4" s="59">
        <f t="shared" ref="AX4" si="8">AW4+1</f>
        <v>2063</v>
      </c>
      <c r="AY4" s="59">
        <f t="shared" ref="AY4" si="9">AX4+1</f>
        <v>2064</v>
      </c>
      <c r="AZ4" s="59">
        <f t="shared" ref="AZ4" si="10">AY4+1</f>
        <v>2065</v>
      </c>
      <c r="BA4" s="59">
        <f t="shared" ref="BA4" si="11">AZ4+1</f>
        <v>2066</v>
      </c>
      <c r="BB4" s="59">
        <f t="shared" ref="BB4" si="12">BA4+1</f>
        <v>2067</v>
      </c>
      <c r="BC4" s="59">
        <f t="shared" ref="BC4" si="13">BB4+1</f>
        <v>2068</v>
      </c>
      <c r="BD4" s="1"/>
    </row>
    <row r="7" spans="1:56">
      <c r="B7" s="3" t="s">
        <v>51</v>
      </c>
      <c r="C7" s="273">
        <f>'Plant Results'!C18</f>
        <v>0</v>
      </c>
      <c r="D7" s="273">
        <f>'Plant Results'!D18</f>
        <v>10292597.575094374</v>
      </c>
      <c r="E7" s="273">
        <f>'Plant Results'!E18</f>
        <v>36384187.481248751</v>
      </c>
      <c r="F7" s="273">
        <f>'Plant Results'!F18</f>
        <v>89520050.519093901</v>
      </c>
      <c r="G7" s="273">
        <f>'Plant Results'!G18</f>
        <v>153739209.42140737</v>
      </c>
      <c r="H7" s="273">
        <f>'Plant Results'!H18</f>
        <v>206172706.43274757</v>
      </c>
      <c r="I7" s="273">
        <f>'Plant Results'!I18</f>
        <v>255973513.03034431</v>
      </c>
      <c r="J7" s="273">
        <f>'Plant Results'!J18</f>
        <v>303311012.17010278</v>
      </c>
      <c r="K7" s="273">
        <f>'Plant Results'!K18</f>
        <v>342369610.40801477</v>
      </c>
      <c r="L7" s="273">
        <f>'Plant Results'!L18</f>
        <v>341625567.75113147</v>
      </c>
      <c r="M7" s="273">
        <f>'Plant Results'!M18</f>
        <v>309530813.69406915</v>
      </c>
      <c r="N7" s="273">
        <f>'Plant Results'!N18</f>
        <v>279842018.04549122</v>
      </c>
      <c r="O7" s="273">
        <f>'Plant Results'!O18</f>
        <v>252144378.56451541</v>
      </c>
      <c r="P7" s="273">
        <f>'Plant Results'!P18</f>
        <v>226067841.11984468</v>
      </c>
      <c r="Q7" s="273">
        <f>'Plant Results'!Q18</f>
        <v>201663017.34416312</v>
      </c>
      <c r="R7" s="273">
        <f>'Plant Results'!R18</f>
        <v>179035791.37480515</v>
      </c>
      <c r="S7" s="273">
        <f>'Plant Results'!S18</f>
        <v>158045753.76347885</v>
      </c>
      <c r="T7" s="273">
        <f>'Plant Results'!T18</f>
        <v>138738513.75362718</v>
      </c>
      <c r="U7" s="273">
        <f>'Plant Results'!U18</f>
        <v>121088725.55793731</v>
      </c>
      <c r="V7" s="273">
        <f>'Plant Results'!V18</f>
        <v>104620009.1852918</v>
      </c>
      <c r="W7" s="273">
        <f>'Plant Results'!W18</f>
        <v>88534328.538651258</v>
      </c>
      <c r="X7" s="273">
        <f>'Plant Results'!X18</f>
        <v>72461634.616339952</v>
      </c>
      <c r="Y7" s="273">
        <f>'Plant Results'!Y18</f>
        <v>56748197.107196003</v>
      </c>
      <c r="Z7" s="273">
        <f>'Plant Results'!Z18</f>
        <v>41957400.26637204</v>
      </c>
      <c r="AA7" s="273">
        <f>'Plant Results'!AA18</f>
        <v>29079522.17916932</v>
      </c>
      <c r="AB7" s="273">
        <f>'Plant Results'!AB18</f>
        <v>18658049.224277385</v>
      </c>
      <c r="AC7" s="273">
        <f>'Plant Results'!AC18</f>
        <v>10501781.294060633</v>
      </c>
      <c r="AD7" s="273">
        <f>'Plant Results'!AD18</f>
        <v>4684257.5705965823</v>
      </c>
      <c r="AE7" s="273">
        <f>'Plant Results'!AE18</f>
        <v>1275640.3800877864</v>
      </c>
      <c r="AF7" s="273">
        <f>'Plant Results'!AF18</f>
        <v>145296.32522638232</v>
      </c>
      <c r="AG7" s="273">
        <f>'Plant Results'!AG18</f>
        <v>81281.017369618959</v>
      </c>
      <c r="AH7" s="273">
        <f>'Plant Results'!AH18</f>
        <v>36374.069717435952</v>
      </c>
      <c r="AI7" s="273">
        <f>'Plant Results'!AI18</f>
        <v>9160.2180462106517</v>
      </c>
      <c r="AJ7" s="273">
        <f>'Plant Results'!AJ18</f>
        <v>4.116918717045337E-8</v>
      </c>
      <c r="AK7" s="273">
        <f>'Plant Results'!AK18</f>
        <v>4.116918717045337E-8</v>
      </c>
      <c r="AL7" s="273">
        <f>'Plant Results'!AL18</f>
        <v>4.116918717045337E-8</v>
      </c>
      <c r="AM7" s="273">
        <f>'Plant Results'!AM18</f>
        <v>4.116918717045337E-8</v>
      </c>
      <c r="AN7" s="273">
        <f>'Plant Results'!AN18</f>
        <v>4.116918717045337E-8</v>
      </c>
      <c r="AO7" s="273">
        <f>'Plant Results'!AO18</f>
        <v>4.116918717045337E-8</v>
      </c>
      <c r="AP7" s="273">
        <f>'Plant Results'!AP18</f>
        <v>4.116918717045337E-8</v>
      </c>
      <c r="AQ7" s="273">
        <f>'Plant Results'!AQ18</f>
        <v>4.116918717045337E-8</v>
      </c>
      <c r="AR7" s="273">
        <f>'Plant Results'!AR18</f>
        <v>4.116918717045337E-8</v>
      </c>
      <c r="AS7" s="273">
        <f>'Plant Results'!AS18</f>
        <v>4.116918717045337E-8</v>
      </c>
      <c r="AT7" s="273">
        <f>'Plant Results'!AT18</f>
        <v>4.116918717045337E-8</v>
      </c>
      <c r="AU7" s="273">
        <f>'Plant Results'!AU18</f>
        <v>4.116918717045337E-8</v>
      </c>
      <c r="AV7" s="273">
        <f>'Plant Results'!AV18</f>
        <v>4.116918717045337E-8</v>
      </c>
      <c r="AW7" s="273">
        <f>'Plant Results'!AW18</f>
        <v>4.116918717045337E-8</v>
      </c>
      <c r="AX7" s="273">
        <f>'Plant Results'!AX18</f>
        <v>4.116918717045337E-8</v>
      </c>
      <c r="AY7" s="273">
        <f>'Plant Results'!AY18</f>
        <v>4.116918717045337E-8</v>
      </c>
      <c r="AZ7" s="273">
        <f>'Plant Results'!AZ18</f>
        <v>4.116918717045337E-8</v>
      </c>
      <c r="BA7" s="273">
        <f>'Plant Results'!BA18</f>
        <v>4.116918717045337E-8</v>
      </c>
      <c r="BB7" s="273">
        <f>'Plant Results'!BB18</f>
        <v>4.116918717045337E-8</v>
      </c>
      <c r="BC7" s="273">
        <f>'Plant Results'!BC18</f>
        <v>4.116918717045337E-8</v>
      </c>
    </row>
    <row r="8" spans="1:56">
      <c r="B8" s="3" t="s">
        <v>56</v>
      </c>
      <c r="C8" s="43">
        <f t="shared" ref="C8:BC8" si="14">pre_tax_WACC</f>
        <v>0.10300923076923077</v>
      </c>
      <c r="D8" s="43">
        <f t="shared" si="14"/>
        <v>0.10300923076923077</v>
      </c>
      <c r="E8" s="43">
        <f t="shared" si="14"/>
        <v>0.10300923076923077</v>
      </c>
      <c r="F8" s="43">
        <f t="shared" si="14"/>
        <v>0.10300923076923077</v>
      </c>
      <c r="G8" s="43">
        <f t="shared" si="14"/>
        <v>0.10300923076923077</v>
      </c>
      <c r="H8" s="43">
        <f t="shared" si="14"/>
        <v>0.10300923076923077</v>
      </c>
      <c r="I8" s="43">
        <f t="shared" si="14"/>
        <v>0.10300923076923077</v>
      </c>
      <c r="J8" s="43">
        <f t="shared" si="14"/>
        <v>0.10300923076923077</v>
      </c>
      <c r="K8" s="43">
        <f t="shared" si="14"/>
        <v>0.10300923076923077</v>
      </c>
      <c r="L8" s="43">
        <f t="shared" si="14"/>
        <v>0.10300923076923077</v>
      </c>
      <c r="M8" s="43">
        <f t="shared" si="14"/>
        <v>0.10300923076923077</v>
      </c>
      <c r="N8" s="43">
        <f t="shared" si="14"/>
        <v>0.10300923076923077</v>
      </c>
      <c r="O8" s="43">
        <f t="shared" si="14"/>
        <v>0.10300923076923077</v>
      </c>
      <c r="P8" s="43">
        <f t="shared" si="14"/>
        <v>0.10300923076923077</v>
      </c>
      <c r="Q8" s="43">
        <f t="shared" si="14"/>
        <v>0.10300923076923077</v>
      </c>
      <c r="R8" s="43">
        <f t="shared" si="14"/>
        <v>0.10300923076923077</v>
      </c>
      <c r="S8" s="43">
        <f t="shared" si="14"/>
        <v>0.10300923076923077</v>
      </c>
      <c r="T8" s="43">
        <f t="shared" si="14"/>
        <v>0.10300923076923077</v>
      </c>
      <c r="U8" s="43">
        <f t="shared" si="14"/>
        <v>0.10300923076923077</v>
      </c>
      <c r="V8" s="43">
        <f t="shared" si="14"/>
        <v>0.10300923076923077</v>
      </c>
      <c r="W8" s="43">
        <f t="shared" si="14"/>
        <v>0.10300923076923077</v>
      </c>
      <c r="X8" s="43">
        <f t="shared" si="14"/>
        <v>0.10300923076923077</v>
      </c>
      <c r="Y8" s="43">
        <f t="shared" si="14"/>
        <v>0.10300923076923077</v>
      </c>
      <c r="Z8" s="43">
        <f t="shared" si="14"/>
        <v>0.10300923076923077</v>
      </c>
      <c r="AA8" s="43">
        <f t="shared" si="14"/>
        <v>0.10300923076923077</v>
      </c>
      <c r="AB8" s="43">
        <f t="shared" si="14"/>
        <v>0.10300923076923077</v>
      </c>
      <c r="AC8" s="43">
        <f t="shared" si="14"/>
        <v>0.10300923076923077</v>
      </c>
      <c r="AD8" s="43">
        <f t="shared" si="14"/>
        <v>0.10300923076923077</v>
      </c>
      <c r="AE8" s="43">
        <f t="shared" si="14"/>
        <v>0.10300923076923077</v>
      </c>
      <c r="AF8" s="43">
        <f t="shared" si="14"/>
        <v>0.10300923076923077</v>
      </c>
      <c r="AG8" s="43">
        <f t="shared" si="14"/>
        <v>0.10300923076923077</v>
      </c>
      <c r="AH8" s="43">
        <f t="shared" si="14"/>
        <v>0.10300923076923077</v>
      </c>
      <c r="AI8" s="43">
        <f t="shared" si="14"/>
        <v>0.10300923076923077</v>
      </c>
      <c r="AJ8" s="43">
        <f t="shared" si="14"/>
        <v>0.10300923076923077</v>
      </c>
      <c r="AK8" s="43">
        <f t="shared" si="14"/>
        <v>0.10300923076923077</v>
      </c>
      <c r="AL8" s="43">
        <f t="shared" si="14"/>
        <v>0.10300923076923077</v>
      </c>
      <c r="AM8" s="43">
        <f t="shared" si="14"/>
        <v>0.10300923076923077</v>
      </c>
      <c r="AN8" s="43">
        <f t="shared" si="14"/>
        <v>0.10300923076923077</v>
      </c>
      <c r="AO8" s="43">
        <f t="shared" si="14"/>
        <v>0.10300923076923077</v>
      </c>
      <c r="AP8" s="43">
        <f t="shared" si="14"/>
        <v>0.10300923076923077</v>
      </c>
      <c r="AQ8" s="43">
        <f t="shared" si="14"/>
        <v>0.10300923076923077</v>
      </c>
      <c r="AR8" s="43">
        <f t="shared" si="14"/>
        <v>0.10300923076923077</v>
      </c>
      <c r="AS8" s="43">
        <f t="shared" si="14"/>
        <v>0.10300923076923077</v>
      </c>
      <c r="AT8" s="43">
        <f t="shared" si="14"/>
        <v>0.10300923076923077</v>
      </c>
      <c r="AU8" s="43">
        <f t="shared" si="14"/>
        <v>0.10300923076923077</v>
      </c>
      <c r="AV8" s="43">
        <f t="shared" si="14"/>
        <v>0.10300923076923077</v>
      </c>
      <c r="AW8" s="43">
        <f t="shared" si="14"/>
        <v>0.10300923076923077</v>
      </c>
      <c r="AX8" s="43">
        <f t="shared" si="14"/>
        <v>0.10300923076923077</v>
      </c>
      <c r="AY8" s="43">
        <f t="shared" si="14"/>
        <v>0.10300923076923077</v>
      </c>
      <c r="AZ8" s="43">
        <f t="shared" si="14"/>
        <v>0.10300923076923077</v>
      </c>
      <c r="BA8" s="43">
        <f t="shared" si="14"/>
        <v>0.10300923076923077</v>
      </c>
      <c r="BB8" s="43">
        <f t="shared" si="14"/>
        <v>0.10300923076923077</v>
      </c>
      <c r="BC8" s="43">
        <f t="shared" si="14"/>
        <v>0.10300923076923077</v>
      </c>
    </row>
    <row r="9" spans="1:56">
      <c r="B9" s="3" t="s">
        <v>58</v>
      </c>
      <c r="C9" s="44">
        <f>C7*C8</f>
        <v>0</v>
      </c>
      <c r="D9" s="44">
        <f>D7*D8</f>
        <v>1060232.5588277213</v>
      </c>
      <c r="E9" s="44">
        <f>E7*E8</f>
        <v>3747907.1646069097</v>
      </c>
      <c r="F9" s="44">
        <f t="shared" ref="F9:AP9" si="15">F7*F8</f>
        <v>9221391.5423945412</v>
      </c>
      <c r="G9" s="44">
        <f t="shared" si="15"/>
        <v>15836557.701568849</v>
      </c>
      <c r="H9" s="44">
        <f t="shared" si="15"/>
        <v>21237691.895247765</v>
      </c>
      <c r="I9" s="44">
        <f t="shared" si="15"/>
        <v>26367634.674553435</v>
      </c>
      <c r="J9" s="44">
        <f t="shared" si="15"/>
        <v>31243834.047479078</v>
      </c>
      <c r="K9" s="44">
        <f t="shared" si="15"/>
        <v>35267230.206890829</v>
      </c>
      <c r="L9" s="44">
        <f t="shared" si="15"/>
        <v>35190586.945145786</v>
      </c>
      <c r="M9" s="44">
        <f t="shared" si="15"/>
        <v>31884531.018000145</v>
      </c>
      <c r="N9" s="44">
        <f t="shared" si="15"/>
        <v>28826311.015775245</v>
      </c>
      <c r="O9" s="44">
        <f t="shared" si="15"/>
        <v>25973198.478716452</v>
      </c>
      <c r="P9" s="44">
        <f t="shared" si="15"/>
        <v>23287074.415415876</v>
      </c>
      <c r="Q9" s="44">
        <f t="shared" si="15"/>
        <v>20773152.291224286</v>
      </c>
      <c r="R9" s="44">
        <f t="shared" si="15"/>
        <v>18442339.149679158</v>
      </c>
      <c r="S9" s="44">
        <f t="shared" si="15"/>
        <v>16280171.521519214</v>
      </c>
      <c r="T9" s="44">
        <f t="shared" si="15"/>
        <v>14291347.57982748</v>
      </c>
      <c r="U9" s="44">
        <f t="shared" si="15"/>
        <v>12473256.474549616</v>
      </c>
      <c r="V9" s="44">
        <f t="shared" si="15"/>
        <v>10776826.669246765</v>
      </c>
      <c r="W9" s="44">
        <f t="shared" si="15"/>
        <v>9119853.0794368219</v>
      </c>
      <c r="X9" s="44">
        <f t="shared" si="15"/>
        <v>7464217.2421102431</v>
      </c>
      <c r="Y9" s="44">
        <f t="shared" si="15"/>
        <v>5845588.1315529468</v>
      </c>
      <c r="Z9" s="44">
        <f t="shared" si="15"/>
        <v>4321999.5265157018</v>
      </c>
      <c r="AA9" s="44">
        <f t="shared" si="15"/>
        <v>2995459.2108130171</v>
      </c>
      <c r="AB9" s="44">
        <f t="shared" si="15"/>
        <v>1921951.2982472563</v>
      </c>
      <c r="AC9" s="44">
        <f t="shared" si="15"/>
        <v>1081780.4128078825</v>
      </c>
      <c r="AD9" s="44">
        <f t="shared" si="15"/>
        <v>482521.76907209965</v>
      </c>
      <c r="AE9" s="44">
        <f t="shared" si="15"/>
        <v>131402.73429101205</v>
      </c>
      <c r="AF9" s="44">
        <f t="shared" si="15"/>
        <v>14966.862695165622</v>
      </c>
      <c r="AG9" s="44">
        <f t="shared" si="15"/>
        <v>8372.6950753849342</v>
      </c>
      <c r="AH9" s="44">
        <f t="shared" si="15"/>
        <v>3746.8649415394484</v>
      </c>
      <c r="AI9" s="44">
        <f t="shared" si="15"/>
        <v>943.58701461858527</v>
      </c>
      <c r="AJ9" s="44">
        <f t="shared" si="15"/>
        <v>4.2408063018228861E-9</v>
      </c>
      <c r="AK9" s="44">
        <f t="shared" si="15"/>
        <v>4.2408063018228861E-9</v>
      </c>
      <c r="AL9" s="44">
        <f t="shared" si="15"/>
        <v>4.2408063018228861E-9</v>
      </c>
      <c r="AM9" s="44">
        <f t="shared" si="15"/>
        <v>4.2408063018228861E-9</v>
      </c>
      <c r="AN9" s="44">
        <f t="shared" si="15"/>
        <v>4.2408063018228861E-9</v>
      </c>
      <c r="AO9" s="44">
        <f t="shared" si="15"/>
        <v>4.2408063018228861E-9</v>
      </c>
      <c r="AP9" s="44">
        <f t="shared" si="15"/>
        <v>4.2408063018228861E-9</v>
      </c>
      <c r="AQ9" s="44">
        <f t="shared" ref="AQ9:BA9" si="16">AQ7*AQ8</f>
        <v>4.2408063018228861E-9</v>
      </c>
      <c r="AR9" s="44">
        <f t="shared" si="16"/>
        <v>4.2408063018228861E-9</v>
      </c>
      <c r="AS9" s="44">
        <f t="shared" si="16"/>
        <v>4.2408063018228861E-9</v>
      </c>
      <c r="AT9" s="44">
        <f t="shared" si="16"/>
        <v>4.2408063018228861E-9</v>
      </c>
      <c r="AU9" s="44">
        <f t="shared" si="16"/>
        <v>4.2408063018228861E-9</v>
      </c>
      <c r="AV9" s="44">
        <f t="shared" si="16"/>
        <v>4.2408063018228861E-9</v>
      </c>
      <c r="AW9" s="44">
        <f t="shared" si="16"/>
        <v>4.2408063018228861E-9</v>
      </c>
      <c r="AX9" s="44">
        <f t="shared" si="16"/>
        <v>4.2408063018228861E-9</v>
      </c>
      <c r="AY9" s="44">
        <f t="shared" si="16"/>
        <v>4.2408063018228861E-9</v>
      </c>
      <c r="AZ9" s="44">
        <f t="shared" si="16"/>
        <v>4.2408063018228861E-9</v>
      </c>
      <c r="BA9" s="44">
        <f t="shared" si="16"/>
        <v>4.2408063018228861E-9</v>
      </c>
      <c r="BB9" s="44">
        <f t="shared" ref="BB9:BC9" si="17">BB7*BB8</f>
        <v>4.2408063018228861E-9</v>
      </c>
      <c r="BC9" s="44">
        <f t="shared" si="17"/>
        <v>4.2408063018228861E-9</v>
      </c>
    </row>
    <row r="11" spans="1:56">
      <c r="B11" s="3" t="s">
        <v>57</v>
      </c>
      <c r="C11" s="38">
        <f>'Project Assumptions'!I10*(1+'Financial Assumptions'!$C$21)^('Project Assumptions'!I4-'Project Assumptions'!$I$4)</f>
        <v>-472515.83063646668</v>
      </c>
      <c r="D11" s="38">
        <f>'Project Assumptions'!J10*(1+'Financial Assumptions'!$C$21)^('Project Assumptions'!J4-'Project Assumptions'!$I$4)</f>
        <v>-6574696.2122196537</v>
      </c>
      <c r="E11" s="38">
        <f>'Project Assumptions'!K10*(1+'Financial Assumptions'!$C$21)^('Project Assumptions'!K4-'Project Assumptions'!$I$4)</f>
        <v>-7669793.5460921042</v>
      </c>
      <c r="F11" s="38">
        <f>'Project Assumptions'!L10*(1+'Financial Assumptions'!$C$21)^('Project Assumptions'!L4-'Project Assumptions'!$I$4)</f>
        <v>-14185582.545780562</v>
      </c>
      <c r="G11" s="38">
        <f>'Project Assumptions'!M10*(1+'Financial Assumptions'!$C$21)^('Project Assumptions'!M4-'Project Assumptions'!$I$4)</f>
        <v>-12031867.087939808</v>
      </c>
      <c r="H11" s="38">
        <f>'Project Assumptions'!N10*(1+'Financial Assumptions'!$C$21)^('Project Assumptions'!N4-'Project Assumptions'!$I$4)</f>
        <v>-12770405.637546735</v>
      </c>
      <c r="I11" s="38">
        <f>'Project Assumptions'!O10*(1+'Financial Assumptions'!$C$21)^('Project Assumptions'!O4-'Project Assumptions'!$I$4)</f>
        <v>-14869542.307376042</v>
      </c>
      <c r="J11" s="38">
        <f>'Project Assumptions'!P10*(1+'Financial Assumptions'!$C$21)^('Project Assumptions'!P4-'Project Assumptions'!$I$4)</f>
        <v>-17143522.477703594</v>
      </c>
      <c r="K11" s="38">
        <f>'Project Assumptions'!Q10*(1+'Financial Assumptions'!$C$21)^('Project Assumptions'!Q4-'Project Assumptions'!$I$4)</f>
        <v>-19751929.952036683</v>
      </c>
      <c r="L11" s="38">
        <f>'Project Assumptions'!R10*(1+'Financial Assumptions'!$C$21)^('Project Assumptions'!R4-'Project Assumptions'!$I$4)</f>
        <v>-22267109.902521782</v>
      </c>
      <c r="M11" s="38">
        <f>'Project Assumptions'!S10*(1+'Financial Assumptions'!$C$21)^('Project Assumptions'!S4-'Project Assumptions'!$I$4)</f>
        <v>-26096764.381659083</v>
      </c>
      <c r="N11" s="38">
        <f>'Project Assumptions'!T10*(1+'Financial Assumptions'!$C$21)^('Project Assumptions'!T4-'Project Assumptions'!$I$4)</f>
        <v>-29172527.532278325</v>
      </c>
      <c r="O11" s="38">
        <f>'Project Assumptions'!U10*(1+'Financial Assumptions'!$C$21)^('Project Assumptions'!U4-'Project Assumptions'!$I$4)</f>
        <v>-32546250.451689467</v>
      </c>
      <c r="P11" s="38">
        <f>'Project Assumptions'!V10*(1+'Financial Assumptions'!$C$21)^('Project Assumptions'!V4-'Project Assumptions'!$I$4)</f>
        <v>-36380882.131553598</v>
      </c>
      <c r="Q11" s="38">
        <f>'Project Assumptions'!W10*(1+'Financial Assumptions'!$C$21)^('Project Assumptions'!W4-'Project Assumptions'!$I$4)</f>
        <v>-40449356.546508506</v>
      </c>
      <c r="R11" s="38">
        <f>'Project Assumptions'!X10*(1+'Financial Assumptions'!$C$21)^('Project Assumptions'!X4-'Project Assumptions'!$I$4)</f>
        <v>-44052638.106116906</v>
      </c>
      <c r="S11" s="38">
        <f>'Project Assumptions'!Y10*(1+'Financial Assumptions'!$C$21)^('Project Assumptions'!Y4-'Project Assumptions'!$I$4)</f>
        <v>-48735636.759026721</v>
      </c>
      <c r="T11" s="38">
        <f>'Project Assumptions'!Z10*(1+'Financial Assumptions'!$C$21)^('Project Assumptions'!Z4-'Project Assumptions'!$I$4)</f>
        <v>-53096825.440337688</v>
      </c>
      <c r="U11" s="38">
        <f>'Project Assumptions'!AA10*(1+'Financial Assumptions'!$C$21)^('Project Assumptions'!AA4-'Project Assumptions'!$I$4)</f>
        <v>-55989046.117263652</v>
      </c>
      <c r="V11" s="38">
        <f>'Project Assumptions'!AB10*(1+'Financial Assumptions'!$C$21)^('Project Assumptions'!AB4-'Project Assumptions'!$I$4)</f>
        <v>-57567703.927123815</v>
      </c>
      <c r="W11" s="38">
        <f>'Project Assumptions'!AC10*(1+'Financial Assumptions'!$C$21)^('Project Assumptions'!AC4-'Project Assumptions'!$I$4)</f>
        <v>-57978692.381805211</v>
      </c>
      <c r="X11" s="38">
        <f>'Project Assumptions'!AD10*(1+'Financial Assumptions'!$C$21)^('Project Assumptions'!AD4-'Project Assumptions'!$I$4)</f>
        <v>-58401898.280915782</v>
      </c>
      <c r="Y11" s="38">
        <f>'Project Assumptions'!AE10*(1+'Financial Assumptions'!$C$21)^('Project Assumptions'!AE4-'Project Assumptions'!$I$4)</f>
        <v>0</v>
      </c>
      <c r="Z11" s="38">
        <f>'Project Assumptions'!AF10*(1+'Financial Assumptions'!$C$21)^('Project Assumptions'!AF4-'Project Assumptions'!$I$4)</f>
        <v>0</v>
      </c>
      <c r="AA11" s="38">
        <f>'Project Assumptions'!AG10*(1+'Financial Assumptions'!$C$21)^('Project Assumptions'!AG4-'Project Assumptions'!$I$4)</f>
        <v>0</v>
      </c>
      <c r="AB11" s="38">
        <f>'Project Assumptions'!AH10*(1+'Financial Assumptions'!$C$21)^('Project Assumptions'!AH4-'Project Assumptions'!$I$4)</f>
        <v>0</v>
      </c>
      <c r="AC11" s="38">
        <f>'Project Assumptions'!AI10*(1+'Financial Assumptions'!$C$21)^('Project Assumptions'!AI4-'Project Assumptions'!$I$4)</f>
        <v>0</v>
      </c>
      <c r="AD11" s="38">
        <f>'Project Assumptions'!AJ10*(1+'Financial Assumptions'!$C$21)^('Project Assumptions'!AJ4-'Project Assumptions'!$I$4)</f>
        <v>0</v>
      </c>
      <c r="AE11" s="38">
        <f>'Project Assumptions'!AK10*(1+'Financial Assumptions'!$C$21)^('Project Assumptions'!AK4-'Project Assumptions'!$I$4)</f>
        <v>0</v>
      </c>
      <c r="AF11" s="38">
        <f>'Project Assumptions'!AL10*(1+'Financial Assumptions'!$C$21)^('Project Assumptions'!AL4-'Project Assumptions'!$I$4)</f>
        <v>0</v>
      </c>
      <c r="AG11" s="38">
        <f>'Project Assumptions'!AM10*(1+'Financial Assumptions'!$C$21)^('Project Assumptions'!AM4-'Project Assumptions'!$I$4)</f>
        <v>0</v>
      </c>
      <c r="AH11" s="38">
        <f>'Project Assumptions'!AN10*(1+'Financial Assumptions'!$C$21)^('Project Assumptions'!AN4-'Project Assumptions'!$I$4)</f>
        <v>0</v>
      </c>
      <c r="AI11" s="38">
        <f>'Project Assumptions'!AO10*(1+'Financial Assumptions'!$C$21)^('Project Assumptions'!AO4-'Project Assumptions'!$I$4)</f>
        <v>0</v>
      </c>
      <c r="AJ11" s="38">
        <f>'Project Assumptions'!AP10*(1+'Financial Assumptions'!$C$21)^('Project Assumptions'!AP4-'Project Assumptions'!$I$4)</f>
        <v>0</v>
      </c>
      <c r="AK11" s="38">
        <f>'Project Assumptions'!AQ10*(1+'Financial Assumptions'!$C$21)^('Project Assumptions'!AQ4-'Project Assumptions'!$I$4)</f>
        <v>0</v>
      </c>
      <c r="AL11" s="38">
        <f>'Project Assumptions'!AR10*(1+'Financial Assumptions'!$C$21)^('Project Assumptions'!AR4-'Project Assumptions'!$I$4)</f>
        <v>0</v>
      </c>
      <c r="AM11" s="38">
        <f>'Project Assumptions'!AS10*(1+'Financial Assumptions'!$C$21)^('Project Assumptions'!AS4-'Project Assumptions'!$I$4)</f>
        <v>0</v>
      </c>
      <c r="AN11" s="38">
        <f>'Project Assumptions'!AT10*(1+'Financial Assumptions'!$C$21)^('Project Assumptions'!AT4-'Project Assumptions'!$I$4)</f>
        <v>0</v>
      </c>
      <c r="AO11" s="38">
        <f>'Project Assumptions'!AU10*(1+'Financial Assumptions'!$C$21)^('Project Assumptions'!AU4-'Project Assumptions'!$I$4)</f>
        <v>0</v>
      </c>
      <c r="AP11" s="38">
        <f>'Project Assumptions'!AV10*(1+'Financial Assumptions'!$C$21)^('Project Assumptions'!AV4-'Project Assumptions'!$I$4)</f>
        <v>0</v>
      </c>
      <c r="AQ11" s="38">
        <f>'Project Assumptions'!AW10*(1+'Financial Assumptions'!$C$21)^('Project Assumptions'!AW4-'Project Assumptions'!$I$4)</f>
        <v>0</v>
      </c>
      <c r="AR11" s="38">
        <f>'Project Assumptions'!AX10*(1+'Financial Assumptions'!$C$21)^('Project Assumptions'!AX4-'Project Assumptions'!$I$4)</f>
        <v>0</v>
      </c>
      <c r="AS11" s="38">
        <f>'Project Assumptions'!AY10*(1+'Financial Assumptions'!$C$21)^('Project Assumptions'!AY4-'Project Assumptions'!$I$4)</f>
        <v>0</v>
      </c>
      <c r="AT11" s="38">
        <f>'Project Assumptions'!AZ10*(1+'Financial Assumptions'!$C$21)^('Project Assumptions'!AZ4-'Project Assumptions'!$I$4)</f>
        <v>0</v>
      </c>
      <c r="AU11" s="38">
        <f>'Project Assumptions'!BA10*(1+'Financial Assumptions'!$C$21)^('Project Assumptions'!BA4-'Project Assumptions'!$I$4)</f>
        <v>0</v>
      </c>
      <c r="AV11" s="38">
        <f>'Project Assumptions'!BB10*(1+'Financial Assumptions'!$C$21)^('Project Assumptions'!BB4-'Project Assumptions'!$I$4)</f>
        <v>0</v>
      </c>
      <c r="AW11" s="38">
        <f>'Project Assumptions'!BC10*(1+'Financial Assumptions'!$C$21)^('Project Assumptions'!BC4-'Project Assumptions'!$I$4)</f>
        <v>0</v>
      </c>
      <c r="AX11" s="38">
        <f>'Project Assumptions'!BD10*(1+'Financial Assumptions'!$C$21)^('Project Assumptions'!BD4-'Project Assumptions'!$I$4)</f>
        <v>0</v>
      </c>
      <c r="AY11" s="38">
        <f>'Project Assumptions'!BE10*(1+'Financial Assumptions'!$C$21)^('Project Assumptions'!BE4-'Project Assumptions'!$I$4)</f>
        <v>0</v>
      </c>
      <c r="AZ11" s="38">
        <f>'Project Assumptions'!BF10*(1+'Financial Assumptions'!$C$21)^('Project Assumptions'!BF4-'Project Assumptions'!$I$4)</f>
        <v>0</v>
      </c>
      <c r="BA11" s="38">
        <f>'Project Assumptions'!BG10*(1+'Financial Assumptions'!$C$21)^('Project Assumptions'!BG4-'Project Assumptions'!$I$4)</f>
        <v>0</v>
      </c>
      <c r="BB11" s="38">
        <f>'Project Assumptions'!BH10*(1+'Financial Assumptions'!$C$21)^('Project Assumptions'!BH4-'Project Assumptions'!$I$4)</f>
        <v>0</v>
      </c>
      <c r="BC11" s="38">
        <f>'Project Assumptions'!BI10*(1+'Financial Assumptions'!$C$21)^('Project Assumptions'!BI4-'Project Assumptions'!$I$4)</f>
        <v>0</v>
      </c>
    </row>
    <row r="12" spans="1:56">
      <c r="B12" s="3" t="s">
        <v>137</v>
      </c>
      <c r="C12" s="38">
        <f>'Project Assumptions'!I13</f>
        <v>0</v>
      </c>
      <c r="D12" s="38">
        <f>'Project Assumptions'!J13</f>
        <v>0</v>
      </c>
      <c r="E12" s="38">
        <f>'Project Assumptions'!K13</f>
        <v>0</v>
      </c>
      <c r="F12" s="38">
        <f>'Project Assumptions'!L13</f>
        <v>0</v>
      </c>
      <c r="G12" s="38">
        <f>'Project Assumptions'!M13</f>
        <v>0</v>
      </c>
      <c r="H12" s="38">
        <f>'Project Assumptions'!N13</f>
        <v>0</v>
      </c>
      <c r="I12" s="38">
        <f>'Project Assumptions'!O13</f>
        <v>0</v>
      </c>
      <c r="J12" s="38">
        <f>'Project Assumptions'!P13</f>
        <v>0</v>
      </c>
      <c r="K12" s="38">
        <f>'Project Assumptions'!Q13</f>
        <v>0</v>
      </c>
      <c r="L12" s="38">
        <f>'Project Assumptions'!R13</f>
        <v>0</v>
      </c>
      <c r="M12" s="38">
        <f>'Project Assumptions'!S13</f>
        <v>0</v>
      </c>
      <c r="N12" s="38">
        <f>'Project Assumptions'!T13</f>
        <v>0</v>
      </c>
      <c r="O12" s="38">
        <f>'Project Assumptions'!U13</f>
        <v>0</v>
      </c>
      <c r="P12" s="38">
        <f>'Project Assumptions'!V13</f>
        <v>0</v>
      </c>
      <c r="Q12" s="38">
        <f>'Project Assumptions'!W13</f>
        <v>0</v>
      </c>
      <c r="R12" s="38">
        <f>'Project Assumptions'!X13</f>
        <v>0</v>
      </c>
      <c r="S12" s="38">
        <f>'Project Assumptions'!Y13</f>
        <v>0</v>
      </c>
      <c r="T12" s="38">
        <f>'Project Assumptions'!Z13</f>
        <v>0</v>
      </c>
      <c r="U12" s="38">
        <f>'Project Assumptions'!AA13</f>
        <v>0</v>
      </c>
      <c r="V12" s="38">
        <f>'Project Assumptions'!AB13</f>
        <v>0</v>
      </c>
      <c r="W12" s="38">
        <f>'Project Assumptions'!AC13</f>
        <v>0</v>
      </c>
      <c r="X12" s="38">
        <f>'Project Assumptions'!AD13</f>
        <v>0</v>
      </c>
      <c r="Y12" s="38">
        <f>'Project Assumptions'!AE13</f>
        <v>0</v>
      </c>
      <c r="Z12" s="38">
        <f>'Project Assumptions'!AF13</f>
        <v>0</v>
      </c>
      <c r="AA12" s="38">
        <f>'Project Assumptions'!AG13</f>
        <v>0</v>
      </c>
      <c r="AB12" s="38">
        <f>'Project Assumptions'!AH13</f>
        <v>0</v>
      </c>
      <c r="AC12" s="38">
        <f>'Project Assumptions'!AI13</f>
        <v>0</v>
      </c>
      <c r="AD12" s="38">
        <f>'Project Assumptions'!AJ13</f>
        <v>0</v>
      </c>
      <c r="AE12" s="38">
        <f>'Project Assumptions'!AK13</f>
        <v>0</v>
      </c>
      <c r="AF12" s="38">
        <f>'Project Assumptions'!AL13</f>
        <v>0</v>
      </c>
      <c r="AG12" s="38">
        <f>'Project Assumptions'!AM13</f>
        <v>0</v>
      </c>
      <c r="AH12" s="38">
        <f>'Project Assumptions'!AN13</f>
        <v>0</v>
      </c>
      <c r="AI12" s="38">
        <f>'Project Assumptions'!AO13</f>
        <v>0</v>
      </c>
      <c r="AJ12" s="38">
        <f>'Project Assumptions'!AP13</f>
        <v>0</v>
      </c>
      <c r="AK12" s="38">
        <f>'Project Assumptions'!AQ13</f>
        <v>0</v>
      </c>
      <c r="AL12" s="38">
        <f>'Project Assumptions'!AR13</f>
        <v>0</v>
      </c>
      <c r="AM12" s="38">
        <f>'Project Assumptions'!AS13</f>
        <v>0</v>
      </c>
      <c r="AN12" s="38">
        <f>'Project Assumptions'!AT13</f>
        <v>0</v>
      </c>
      <c r="AO12" s="38">
        <f>'Project Assumptions'!AU13</f>
        <v>0</v>
      </c>
      <c r="AP12" s="38">
        <f>'Project Assumptions'!AV13</f>
        <v>0</v>
      </c>
      <c r="AQ12" s="38">
        <f>'Project Assumptions'!AW13</f>
        <v>0</v>
      </c>
      <c r="AR12" s="38">
        <f>'Project Assumptions'!AX13</f>
        <v>0</v>
      </c>
      <c r="AS12" s="38">
        <f>'Project Assumptions'!AY13</f>
        <v>0</v>
      </c>
      <c r="AT12" s="38">
        <f>'Project Assumptions'!AZ13</f>
        <v>0</v>
      </c>
      <c r="AU12" s="38">
        <f>'Project Assumptions'!BA13</f>
        <v>0</v>
      </c>
      <c r="AV12" s="38">
        <f>'Project Assumptions'!BB13</f>
        <v>0</v>
      </c>
      <c r="AW12" s="38">
        <f>'Project Assumptions'!BC13</f>
        <v>0</v>
      </c>
      <c r="AX12" s="38">
        <f>'Project Assumptions'!BD13</f>
        <v>0</v>
      </c>
      <c r="AY12" s="38">
        <f>'Project Assumptions'!BE13</f>
        <v>0</v>
      </c>
      <c r="AZ12" s="38">
        <f>'Project Assumptions'!BF13</f>
        <v>0</v>
      </c>
      <c r="BA12" s="38">
        <f>'Project Assumptions'!BG13</f>
        <v>0</v>
      </c>
      <c r="BB12" s="38">
        <f>'Project Assumptions'!BH13</f>
        <v>0</v>
      </c>
      <c r="BC12" s="38">
        <f>'Project Assumptions'!BI13</f>
        <v>0</v>
      </c>
    </row>
    <row r="13" spans="1:56">
      <c r="A13" s="50"/>
      <c r="B13" s="3" t="s">
        <v>59</v>
      </c>
      <c r="C13" s="273">
        <f>('Plant Results'!C$7+'Plant Results'!B$7)/2*Levy_Rate*PropertyTax_Rate</f>
        <v>0</v>
      </c>
      <c r="D13" s="273">
        <f>('Plant Results'!D$7+'Plant Results'!C$7)/2*Levy_Rate*PropertyTax_Rate</f>
        <v>0</v>
      </c>
      <c r="E13" s="273">
        <f>('Plant Results'!E$7+'Plant Results'!D$7)/2*Levy_Rate*PropertyTax_Rate</f>
        <v>0</v>
      </c>
      <c r="F13" s="273">
        <f>('Plant Results'!F$7+'Plant Results'!E$7)/2*Levy_Rate*PropertyTax_Rate</f>
        <v>0</v>
      </c>
      <c r="G13" s="273">
        <f>('Plant Results'!G$7+'Plant Results'!F$7)/2*Levy_Rate*PropertyTax_Rate</f>
        <v>0</v>
      </c>
      <c r="H13" s="273">
        <f>('Plant Results'!H$7+'Plant Results'!G$7)/2*Levy_Rate*PropertyTax_Rate</f>
        <v>0</v>
      </c>
      <c r="I13" s="273">
        <f>('Plant Results'!I$7+'Plant Results'!H$7)/2*Levy_Rate*PropertyTax_Rate</f>
        <v>0</v>
      </c>
      <c r="J13" s="273">
        <f>('Plant Results'!J$7+'Plant Results'!I$7)/2*Levy_Rate*PropertyTax_Rate</f>
        <v>0</v>
      </c>
      <c r="K13" s="273">
        <f>('Plant Results'!K$7+'Plant Results'!J$7)/2*Levy_Rate*PropertyTax_Rate</f>
        <v>0</v>
      </c>
      <c r="L13" s="273">
        <f>('Plant Results'!L$7+'Plant Results'!K$7)/2*Levy_Rate*PropertyTax_Rate</f>
        <v>0</v>
      </c>
      <c r="M13" s="273">
        <f>('Plant Results'!M$7+'Plant Results'!L$7)/2*Levy_Rate*PropertyTax_Rate</f>
        <v>0</v>
      </c>
      <c r="N13" s="273">
        <f>('Plant Results'!N$7+'Plant Results'!M$7)/2*Levy_Rate*PropertyTax_Rate</f>
        <v>0</v>
      </c>
      <c r="O13" s="273">
        <f>('Plant Results'!O$7+'Plant Results'!N$7)/2*Levy_Rate*PropertyTax_Rate</f>
        <v>0</v>
      </c>
      <c r="P13" s="273">
        <f>('Plant Results'!P$7+'Plant Results'!O$7)/2*Levy_Rate*PropertyTax_Rate</f>
        <v>0</v>
      </c>
      <c r="Q13" s="273">
        <f>('Plant Results'!Q$7+'Plant Results'!P$7)/2*Levy_Rate*PropertyTax_Rate</f>
        <v>0</v>
      </c>
      <c r="R13" s="273">
        <f>('Plant Results'!R$7+'Plant Results'!Q$7)/2*Levy_Rate*PropertyTax_Rate</f>
        <v>0</v>
      </c>
      <c r="S13" s="273">
        <f>('Plant Results'!S$7+'Plant Results'!R$7)/2*Levy_Rate*PropertyTax_Rate</f>
        <v>0</v>
      </c>
      <c r="T13" s="273">
        <f>('Plant Results'!T$7+'Plant Results'!S$7)/2*Levy_Rate*PropertyTax_Rate</f>
        <v>0</v>
      </c>
      <c r="U13" s="273">
        <f>('Plant Results'!U$7+'Plant Results'!T$7)/2*Levy_Rate*PropertyTax_Rate</f>
        <v>0</v>
      </c>
      <c r="V13" s="273">
        <f>('Plant Results'!V$7+'Plant Results'!U$7)/2*Levy_Rate*PropertyTax_Rate</f>
        <v>0</v>
      </c>
      <c r="W13" s="273">
        <f>('Plant Results'!W$7+'Plant Results'!V$7)/2*Levy_Rate*PropertyTax_Rate</f>
        <v>0</v>
      </c>
      <c r="X13" s="273">
        <f>('Plant Results'!X$7+'Plant Results'!W$7)/2*Levy_Rate*PropertyTax_Rate</f>
        <v>0</v>
      </c>
      <c r="Y13" s="273">
        <f>('Plant Results'!Y$7+'Plant Results'!X$7)/2*Levy_Rate*PropertyTax_Rate</f>
        <v>0</v>
      </c>
      <c r="Z13" s="273">
        <f>('Plant Results'!Z$7+'Plant Results'!Y$7)/2*Levy_Rate*PropertyTax_Rate</f>
        <v>0</v>
      </c>
      <c r="AA13" s="273">
        <f>('Plant Results'!AA$7+'Plant Results'!Z$7)/2*Levy_Rate*PropertyTax_Rate</f>
        <v>0</v>
      </c>
      <c r="AB13" s="273">
        <f>('Plant Results'!AB$7+'Plant Results'!AA$7)/2*Levy_Rate*PropertyTax_Rate</f>
        <v>0</v>
      </c>
      <c r="AC13" s="273">
        <f>('Plant Results'!AC$7+'Plant Results'!AB$7)/2*Levy_Rate*PropertyTax_Rate</f>
        <v>0</v>
      </c>
      <c r="AD13" s="273">
        <f>('Plant Results'!AD$7+'Plant Results'!AC$7)/2*Levy_Rate*PropertyTax_Rate</f>
        <v>0</v>
      </c>
      <c r="AE13" s="273">
        <f>('Plant Results'!AE$7+'Plant Results'!AD$7)/2*Levy_Rate*PropertyTax_Rate</f>
        <v>0</v>
      </c>
      <c r="AF13" s="273">
        <f>('Plant Results'!AF$7+'Plant Results'!AE$7)/2*Levy_Rate*PropertyTax_Rate</f>
        <v>0</v>
      </c>
      <c r="AG13" s="273">
        <f>('Plant Results'!AG$7+'Plant Results'!AF$7)/2*Levy_Rate*PropertyTax_Rate</f>
        <v>0</v>
      </c>
      <c r="AH13" s="273">
        <f>('Plant Results'!AH$7+'Plant Results'!AG$7)/2*Levy_Rate*PropertyTax_Rate</f>
        <v>0</v>
      </c>
      <c r="AI13" s="273">
        <f>('Plant Results'!AI$7+'Plant Results'!AH$7)/2*Levy_Rate*PropertyTax_Rate</f>
        <v>0</v>
      </c>
      <c r="AJ13" s="273">
        <f>('Plant Results'!AJ$7+'Plant Results'!AI$7)/2*Levy_Rate*PropertyTax_Rate</f>
        <v>0</v>
      </c>
      <c r="AK13" s="273">
        <f>('Plant Results'!AK$7+'Plant Results'!AJ$7)/2*Levy_Rate*PropertyTax_Rate</f>
        <v>0</v>
      </c>
      <c r="AL13" s="273">
        <f>('Plant Results'!AL$7+'Plant Results'!AK$7)/2*Levy_Rate*PropertyTax_Rate</f>
        <v>0</v>
      </c>
      <c r="AM13" s="273">
        <f>('Plant Results'!AM$7+'Plant Results'!AL$7)/2*Levy_Rate*PropertyTax_Rate</f>
        <v>0</v>
      </c>
      <c r="AN13" s="273">
        <f>('Plant Results'!AN$7+'Plant Results'!AM$7)/2*Levy_Rate*PropertyTax_Rate</f>
        <v>0</v>
      </c>
      <c r="AO13" s="273">
        <f>('Plant Results'!AO$7+'Plant Results'!AN$7)/2*Levy_Rate*PropertyTax_Rate</f>
        <v>0</v>
      </c>
      <c r="AP13" s="273">
        <f>('Plant Results'!AP$7+'Plant Results'!AO$7)/2*Levy_Rate*PropertyTax_Rate</f>
        <v>0</v>
      </c>
      <c r="AQ13" s="273">
        <f>('Plant Results'!AQ$7+'Plant Results'!AP$7)/2*Levy_Rate*PropertyTax_Rate</f>
        <v>0</v>
      </c>
      <c r="AR13" s="273">
        <f>('Plant Results'!AR$7+'Plant Results'!AQ$7)/2*Levy_Rate*PropertyTax_Rate</f>
        <v>0</v>
      </c>
      <c r="AS13" s="273">
        <f>('Plant Results'!AS$7+'Plant Results'!AR$7)/2*Levy_Rate*PropertyTax_Rate</f>
        <v>0</v>
      </c>
      <c r="AT13" s="273">
        <f>('Plant Results'!AT$7+'Plant Results'!AS$7)/2*Levy_Rate*PropertyTax_Rate</f>
        <v>0</v>
      </c>
      <c r="AU13" s="273">
        <f>('Plant Results'!AU$7+'Plant Results'!AT$7)/2*Levy_Rate*PropertyTax_Rate</f>
        <v>0</v>
      </c>
      <c r="AV13" s="273">
        <f>('Plant Results'!AV$7+'Plant Results'!AU$7)/2*Levy_Rate*PropertyTax_Rate</f>
        <v>0</v>
      </c>
      <c r="AW13" s="273">
        <f>('Plant Results'!AW$7+'Plant Results'!AV$7)/2*Levy_Rate*PropertyTax_Rate</f>
        <v>0</v>
      </c>
      <c r="AX13" s="273">
        <f>('Plant Results'!AX$7+'Plant Results'!AW$7)/2*Levy_Rate*PropertyTax_Rate</f>
        <v>0</v>
      </c>
      <c r="AY13" s="273">
        <f>('Plant Results'!AY$7+'Plant Results'!AX$7)/2*Levy_Rate*PropertyTax_Rate</f>
        <v>0</v>
      </c>
      <c r="AZ13" s="273">
        <f>('Plant Results'!AZ$7+'Plant Results'!AY$7)/2*Levy_Rate*PropertyTax_Rate</f>
        <v>0</v>
      </c>
      <c r="BA13" s="273">
        <f>('Plant Results'!BA$7+'Plant Results'!AZ$7)/2*Levy_Rate*PropertyTax_Rate</f>
        <v>0</v>
      </c>
      <c r="BB13" s="273">
        <f>('Plant Results'!BB$7+'Plant Results'!BA$7)/2*Levy_Rate*PropertyTax_Rate</f>
        <v>0</v>
      </c>
      <c r="BC13" s="273">
        <f>('Plant Results'!BC$7+'Plant Results'!BB$7)/2*Levy_Rate*PropertyTax_Rate</f>
        <v>0</v>
      </c>
    </row>
    <row r="14" spans="1:56">
      <c r="B14" s="3" t="s">
        <v>5</v>
      </c>
      <c r="C14" s="273">
        <f>('Plant Results'!C$7+'Plant Results'!B$7)/2*Insurance_Rate</f>
        <v>0</v>
      </c>
      <c r="D14" s="273">
        <f>('Plant Results'!D$7+'Plant Results'!C$7)/2*Insurance_Rate</f>
        <v>0</v>
      </c>
      <c r="E14" s="273">
        <f>('Plant Results'!E$7+'Plant Results'!D$7)/2*Insurance_Rate</f>
        <v>0</v>
      </c>
      <c r="F14" s="273">
        <f>('Plant Results'!F$7+'Plant Results'!E$7)/2*Insurance_Rate</f>
        <v>0</v>
      </c>
      <c r="G14" s="273">
        <f>('Plant Results'!G$7+'Plant Results'!F$7)/2*Insurance_Rate</f>
        <v>0</v>
      </c>
      <c r="H14" s="273">
        <f>('Plant Results'!H$7+'Plant Results'!G$7)/2*Insurance_Rate</f>
        <v>0</v>
      </c>
      <c r="I14" s="273">
        <f>('Plant Results'!I$7+'Plant Results'!H$7)/2*Insurance_Rate</f>
        <v>0</v>
      </c>
      <c r="J14" s="273">
        <f>('Plant Results'!J$7+'Plant Results'!I$7)/2*Insurance_Rate</f>
        <v>0</v>
      </c>
      <c r="K14" s="273">
        <f>('Plant Results'!K$7+'Plant Results'!J$7)/2*Insurance_Rate</f>
        <v>0</v>
      </c>
      <c r="L14" s="273">
        <f>('Plant Results'!L$7+'Plant Results'!K$7)/2*Insurance_Rate</f>
        <v>0</v>
      </c>
      <c r="M14" s="273">
        <f>('Plant Results'!M$7+'Plant Results'!L$7)/2*Insurance_Rate</f>
        <v>0</v>
      </c>
      <c r="N14" s="273">
        <f>('Plant Results'!N$7+'Plant Results'!M$7)/2*Insurance_Rate</f>
        <v>0</v>
      </c>
      <c r="O14" s="273">
        <f>('Plant Results'!O$7+'Plant Results'!N$7)/2*Insurance_Rate</f>
        <v>0</v>
      </c>
      <c r="P14" s="273">
        <f>('Plant Results'!P$7+'Plant Results'!O$7)/2*Insurance_Rate</f>
        <v>0</v>
      </c>
      <c r="Q14" s="273">
        <f>('Plant Results'!Q$7+'Plant Results'!P$7)/2*Insurance_Rate</f>
        <v>0</v>
      </c>
      <c r="R14" s="273">
        <f>('Plant Results'!R$7+'Plant Results'!Q$7)/2*Insurance_Rate</f>
        <v>0</v>
      </c>
      <c r="S14" s="273">
        <f>('Plant Results'!S$7+'Plant Results'!R$7)/2*Insurance_Rate</f>
        <v>0</v>
      </c>
      <c r="T14" s="273">
        <f>('Plant Results'!T$7+'Plant Results'!S$7)/2*Insurance_Rate</f>
        <v>0</v>
      </c>
      <c r="U14" s="273">
        <f>('Plant Results'!U$7+'Plant Results'!T$7)/2*Insurance_Rate</f>
        <v>0</v>
      </c>
      <c r="V14" s="273">
        <f>('Plant Results'!V$7+'Plant Results'!U$7)/2*Insurance_Rate</f>
        <v>0</v>
      </c>
      <c r="W14" s="273">
        <f>('Plant Results'!W$7+'Plant Results'!V$7)/2*Insurance_Rate</f>
        <v>0</v>
      </c>
      <c r="X14" s="273">
        <f>('Plant Results'!X$7+'Plant Results'!W$7)/2*Insurance_Rate</f>
        <v>0</v>
      </c>
      <c r="Y14" s="273">
        <f>('Plant Results'!Y$7+'Plant Results'!X$7)/2*Insurance_Rate</f>
        <v>0</v>
      </c>
      <c r="Z14" s="273">
        <f>('Plant Results'!Z$7+'Plant Results'!Y$7)/2*Insurance_Rate</f>
        <v>0</v>
      </c>
      <c r="AA14" s="273">
        <f>('Plant Results'!AA$7+'Plant Results'!Z$7)/2*Insurance_Rate</f>
        <v>0</v>
      </c>
      <c r="AB14" s="273">
        <f>('Plant Results'!AB$7+'Plant Results'!AA$7)/2*Insurance_Rate</f>
        <v>0</v>
      </c>
      <c r="AC14" s="273">
        <f>('Plant Results'!AC$7+'Plant Results'!AB$7)/2*Insurance_Rate</f>
        <v>0</v>
      </c>
      <c r="AD14" s="273">
        <f>('Plant Results'!AD$7+'Plant Results'!AC$7)/2*Insurance_Rate</f>
        <v>0</v>
      </c>
      <c r="AE14" s="273">
        <f>('Plant Results'!AE$7+'Plant Results'!AD$7)/2*Insurance_Rate</f>
        <v>0</v>
      </c>
      <c r="AF14" s="273">
        <f>('Plant Results'!AF$7+'Plant Results'!AE$7)/2*Insurance_Rate</f>
        <v>0</v>
      </c>
      <c r="AG14" s="273">
        <f>('Plant Results'!AG$7+'Plant Results'!AF$7)/2*Insurance_Rate</f>
        <v>0</v>
      </c>
      <c r="AH14" s="273">
        <f>('Plant Results'!AH$7+'Plant Results'!AG$7)/2*Insurance_Rate</f>
        <v>0</v>
      </c>
      <c r="AI14" s="273">
        <f>('Plant Results'!AI$7+'Plant Results'!AH$7)/2*Insurance_Rate</f>
        <v>0</v>
      </c>
      <c r="AJ14" s="273">
        <f>('Plant Results'!AJ$7+'Plant Results'!AI$7)/2*Insurance_Rate</f>
        <v>0</v>
      </c>
      <c r="AK14" s="273">
        <f>('Plant Results'!AK$7+'Plant Results'!AJ$7)/2*Insurance_Rate</f>
        <v>0</v>
      </c>
      <c r="AL14" s="273">
        <f>('Plant Results'!AL$7+'Plant Results'!AK$7)/2*Insurance_Rate</f>
        <v>0</v>
      </c>
      <c r="AM14" s="273">
        <f>('Plant Results'!AM$7+'Plant Results'!AL$7)/2*Insurance_Rate</f>
        <v>0</v>
      </c>
      <c r="AN14" s="273">
        <f>('Plant Results'!AN$7+'Plant Results'!AM$7)/2*Insurance_Rate</f>
        <v>0</v>
      </c>
      <c r="AO14" s="273">
        <f>('Plant Results'!AO$7+'Plant Results'!AN$7)/2*Insurance_Rate</f>
        <v>0</v>
      </c>
      <c r="AP14" s="273">
        <f>('Plant Results'!AP$7+'Plant Results'!AO$7)/2*Insurance_Rate</f>
        <v>0</v>
      </c>
      <c r="AQ14" s="273">
        <f>('Plant Results'!AQ$7+'Plant Results'!AP$7)/2*Insurance_Rate</f>
        <v>0</v>
      </c>
      <c r="AR14" s="273">
        <f>('Plant Results'!AR$7+'Plant Results'!AQ$7)/2*Insurance_Rate</f>
        <v>0</v>
      </c>
      <c r="AS14" s="273">
        <f>('Plant Results'!AS$7+'Plant Results'!AR$7)/2*Insurance_Rate</f>
        <v>0</v>
      </c>
      <c r="AT14" s="273">
        <f>('Plant Results'!AT$7+'Plant Results'!AS$7)/2*Insurance_Rate</f>
        <v>0</v>
      </c>
      <c r="AU14" s="273">
        <f>('Plant Results'!AU$7+'Plant Results'!AT$7)/2*Insurance_Rate</f>
        <v>0</v>
      </c>
      <c r="AV14" s="273">
        <f>('Plant Results'!AV$7+'Plant Results'!AU$7)/2*Insurance_Rate</f>
        <v>0</v>
      </c>
      <c r="AW14" s="273">
        <f>('Plant Results'!AW$7+'Plant Results'!AV$7)/2*Insurance_Rate</f>
        <v>0</v>
      </c>
      <c r="AX14" s="273">
        <f>('Plant Results'!AX$7+'Plant Results'!AW$7)/2*Insurance_Rate</f>
        <v>0</v>
      </c>
      <c r="AY14" s="273">
        <f>('Plant Results'!AY$7+'Plant Results'!AX$7)/2*Insurance_Rate</f>
        <v>0</v>
      </c>
      <c r="AZ14" s="273">
        <f>('Plant Results'!AZ$7+'Plant Results'!AY$7)/2*Insurance_Rate</f>
        <v>0</v>
      </c>
      <c r="BA14" s="273">
        <f>('Plant Results'!BA$7+'Plant Results'!AZ$7)/2*Insurance_Rate</f>
        <v>0</v>
      </c>
      <c r="BB14" s="273">
        <f>('Plant Results'!BB$7+'Plant Results'!BA$7)/2*Insurance_Rate</f>
        <v>0</v>
      </c>
      <c r="BC14" s="273">
        <f>('Plant Results'!BC$7+'Plant Results'!BB$7)/2*Insurance_Rate</f>
        <v>0</v>
      </c>
    </row>
    <row r="15" spans="1:56">
      <c r="A15" s="50"/>
      <c r="B15" s="3" t="s">
        <v>60</v>
      </c>
      <c r="C15" s="38">
        <f>'Plant Results'!C51</f>
        <v>0</v>
      </c>
      <c r="D15" s="38">
        <f>'Plant Results'!D51</f>
        <v>0</v>
      </c>
      <c r="E15" s="38">
        <f>'Plant Results'!E51</f>
        <v>1066590.4222895724</v>
      </c>
      <c r="F15" s="38">
        <f>'Plant Results'!F51</f>
        <v>2809345.4672995768</v>
      </c>
      <c r="G15" s="38">
        <f>'Plant Results'!G51</f>
        <v>6942548.082309708</v>
      </c>
      <c r="H15" s="38">
        <f>'Plant Results'!H51</f>
        <v>10367515.105178883</v>
      </c>
      <c r="I15" s="38">
        <f>'Plant Results'!I51</f>
        <v>13912409.69669489</v>
      </c>
      <c r="J15" s="38">
        <f>'Plant Results'!J51</f>
        <v>17563651.125956379</v>
      </c>
      <c r="K15" s="38">
        <f>'Plant Results'!K51</f>
        <v>21324429.798095711</v>
      </c>
      <c r="L15" s="38">
        <f>'Plant Results'!L51</f>
        <v>24573722.31256374</v>
      </c>
      <c r="M15" s="38">
        <f>'Plant Results'!M51</f>
        <v>24605441.327340674</v>
      </c>
      <c r="N15" s="38">
        <f>'Plant Results'!N51</f>
        <v>24632517.267039396</v>
      </c>
      <c r="O15" s="38">
        <f>'Plant Results'!O51</f>
        <v>24659881.622666612</v>
      </c>
      <c r="P15" s="38">
        <f>'Plant Results'!P51</f>
        <v>24688066.908962645</v>
      </c>
      <c r="Q15" s="38">
        <f>'Plant Results'!Q51</f>
        <v>24688066.908962645</v>
      </c>
      <c r="R15" s="38">
        <f>'Plant Results'!R51</f>
        <v>24688066.908962645</v>
      </c>
      <c r="S15" s="38">
        <f>'Plant Results'!S51</f>
        <v>24688066.908962645</v>
      </c>
      <c r="T15" s="38">
        <f>'Plant Results'!T51</f>
        <v>24688066.908962645</v>
      </c>
      <c r="U15" s="38">
        <f>'Plant Results'!U51</f>
        <v>24688066.908962645</v>
      </c>
      <c r="V15" s="38">
        <f>'Plant Results'!V51</f>
        <v>24688066.908962645</v>
      </c>
      <c r="W15" s="38">
        <f>'Plant Results'!W51</f>
        <v>24688066.908962645</v>
      </c>
      <c r="X15" s="38">
        <f>'Plant Results'!X51</f>
        <v>24688066.908962645</v>
      </c>
      <c r="Y15" s="38">
        <f>'Plant Results'!Y51</f>
        <v>23621476.486673072</v>
      </c>
      <c r="Z15" s="38">
        <f>'Plant Results'!Z51</f>
        <v>21878721.441663064</v>
      </c>
      <c r="AA15" s="38">
        <f>'Plant Results'!AA51</f>
        <v>17745518.826652937</v>
      </c>
      <c r="AB15" s="38">
        <f>'Plant Results'!AB51</f>
        <v>14320551.803783761</v>
      </c>
      <c r="AC15" s="38">
        <f>'Plant Results'!AC51</f>
        <v>10775657.212267755</v>
      </c>
      <c r="AD15" s="38">
        <f>'Plant Results'!AD51</f>
        <v>7124415.7830062695</v>
      </c>
      <c r="AE15" s="38">
        <f>'Plant Results'!AE51</f>
        <v>3363637.1108669383</v>
      </c>
      <c r="AF15" s="38">
        <f>'Plant Results'!AF51</f>
        <v>114344.59639890766</v>
      </c>
      <c r="AG15" s="38">
        <f>'Plant Results'!AG51</f>
        <v>82625.581621972946</v>
      </c>
      <c r="AH15" s="38">
        <f>'Plant Results'!AH51</f>
        <v>55549.641923248957</v>
      </c>
      <c r="AI15" s="38">
        <f>'Plant Results'!AI51</f>
        <v>28185.286296032715</v>
      </c>
      <c r="AJ15" s="38">
        <f>'Plant Results'!AJ51</f>
        <v>0</v>
      </c>
      <c r="AK15" s="38">
        <f>'Plant Results'!AK51</f>
        <v>0</v>
      </c>
      <c r="AL15" s="38">
        <f>'Plant Results'!AL51</f>
        <v>0</v>
      </c>
      <c r="AM15" s="38">
        <f>'Plant Results'!AM51</f>
        <v>0</v>
      </c>
      <c r="AN15" s="38">
        <f>'Plant Results'!AN51</f>
        <v>0</v>
      </c>
      <c r="AO15" s="38">
        <f>'Plant Results'!AO51</f>
        <v>0</v>
      </c>
      <c r="AP15" s="38">
        <f>'Plant Results'!AP51</f>
        <v>0</v>
      </c>
      <c r="AQ15" s="38">
        <f>'Plant Results'!AQ51</f>
        <v>0</v>
      </c>
      <c r="AR15" s="38">
        <f>'Plant Results'!AR51</f>
        <v>0</v>
      </c>
      <c r="AS15" s="38">
        <f>'Plant Results'!AS51</f>
        <v>0</v>
      </c>
      <c r="AT15" s="38">
        <f>'Plant Results'!AT51</f>
        <v>0</v>
      </c>
      <c r="AU15" s="38">
        <f>'Plant Results'!AU51</f>
        <v>0</v>
      </c>
      <c r="AV15" s="38">
        <f>'Plant Results'!AV51</f>
        <v>0</v>
      </c>
      <c r="AW15" s="38">
        <f>'Plant Results'!AW51</f>
        <v>0</v>
      </c>
      <c r="AX15" s="38">
        <f>'Plant Results'!AX51</f>
        <v>0</v>
      </c>
      <c r="AY15" s="38">
        <f>'Plant Results'!AY51</f>
        <v>0</v>
      </c>
      <c r="AZ15" s="38">
        <f>'Plant Results'!AZ51</f>
        <v>0</v>
      </c>
      <c r="BA15" s="38">
        <f>'Plant Results'!BA51</f>
        <v>0</v>
      </c>
      <c r="BB15" s="38">
        <f>'Plant Results'!BB51</f>
        <v>0</v>
      </c>
      <c r="BC15" s="38">
        <f>'Plant Results'!BC51</f>
        <v>0</v>
      </c>
    </row>
    <row r="16" spans="1:56">
      <c r="B16" s="3" t="s">
        <v>153</v>
      </c>
      <c r="C16" s="40">
        <f>SUM(C9:C15)</f>
        <v>-472515.83063646668</v>
      </c>
      <c r="D16" s="40">
        <f t="shared" ref="D16:AP16" si="18">SUM(D9:D15)</f>
        <v>-5514463.6533919321</v>
      </c>
      <c r="E16" s="40">
        <f>SUM(E9:E15)</f>
        <v>-2855295.9591956222</v>
      </c>
      <c r="F16" s="40">
        <f t="shared" si="18"/>
        <v>-2154845.5360864438</v>
      </c>
      <c r="G16" s="40">
        <f>SUM(G9:G15)</f>
        <v>10747238.695938749</v>
      </c>
      <c r="H16" s="40">
        <f>SUM(H9:H15)</f>
        <v>18834801.362879913</v>
      </c>
      <c r="I16" s="40">
        <f t="shared" si="18"/>
        <v>25410502.063872285</v>
      </c>
      <c r="J16" s="40">
        <f t="shared" si="18"/>
        <v>31663962.695731863</v>
      </c>
      <c r="K16" s="40">
        <f t="shared" si="18"/>
        <v>36839730.052949861</v>
      </c>
      <c r="L16" s="40">
        <f t="shared" si="18"/>
        <v>37497199.355187744</v>
      </c>
      <c r="M16" s="40">
        <f t="shared" si="18"/>
        <v>30393207.963681735</v>
      </c>
      <c r="N16" s="40">
        <f t="shared" si="18"/>
        <v>24286300.750536315</v>
      </c>
      <c r="O16" s="40">
        <f t="shared" si="18"/>
        <v>18086829.649693597</v>
      </c>
      <c r="P16" s="40">
        <f t="shared" si="18"/>
        <v>11594259.192824923</v>
      </c>
      <c r="Q16" s="40">
        <f t="shared" si="18"/>
        <v>5011862.6536784247</v>
      </c>
      <c r="R16" s="40">
        <f t="shared" si="18"/>
        <v>-922232.04747510329</v>
      </c>
      <c r="S16" s="40">
        <f t="shared" si="18"/>
        <v>-7767398.3285448626</v>
      </c>
      <c r="T16" s="40">
        <f t="shared" si="18"/>
        <v>-14117410.951547563</v>
      </c>
      <c r="U16" s="40">
        <f t="shared" si="18"/>
        <v>-18827722.733751394</v>
      </c>
      <c r="V16" s="40">
        <f t="shared" si="18"/>
        <v>-22102810.348914407</v>
      </c>
      <c r="W16" s="40">
        <f t="shared" si="18"/>
        <v>-24170772.393405743</v>
      </c>
      <c r="X16" s="40">
        <f t="shared" si="18"/>
        <v>-26249614.129842892</v>
      </c>
      <c r="Y16" s="40">
        <f t="shared" si="18"/>
        <v>29467064.618226018</v>
      </c>
      <c r="Z16" s="40">
        <f t="shared" si="18"/>
        <v>26200720.968178764</v>
      </c>
      <c r="AA16" s="40">
        <f t="shared" si="18"/>
        <v>20740978.037465952</v>
      </c>
      <c r="AB16" s="40">
        <f t="shared" si="18"/>
        <v>16242503.102031019</v>
      </c>
      <c r="AC16" s="40">
        <f t="shared" si="18"/>
        <v>11857437.625075636</v>
      </c>
      <c r="AD16" s="40">
        <f t="shared" si="18"/>
        <v>7606937.5520783691</v>
      </c>
      <c r="AE16" s="40">
        <f t="shared" si="18"/>
        <v>3495039.8451579502</v>
      </c>
      <c r="AF16" s="40">
        <f t="shared" si="18"/>
        <v>129311.45909407327</v>
      </c>
      <c r="AG16" s="40">
        <f t="shared" si="18"/>
        <v>90998.276697357884</v>
      </c>
      <c r="AH16" s="40">
        <f t="shared" si="18"/>
        <v>59296.506864788404</v>
      </c>
      <c r="AI16" s="40">
        <f t="shared" si="18"/>
        <v>29128.873310651299</v>
      </c>
      <c r="AJ16" s="40">
        <f t="shared" si="18"/>
        <v>4.2408063018228861E-9</v>
      </c>
      <c r="AK16" s="40">
        <f t="shared" si="18"/>
        <v>4.2408063018228861E-9</v>
      </c>
      <c r="AL16" s="40">
        <f t="shared" si="18"/>
        <v>4.2408063018228861E-9</v>
      </c>
      <c r="AM16" s="40">
        <f t="shared" si="18"/>
        <v>4.2408063018228861E-9</v>
      </c>
      <c r="AN16" s="40">
        <f t="shared" si="18"/>
        <v>4.2408063018228861E-9</v>
      </c>
      <c r="AO16" s="40">
        <f t="shared" si="18"/>
        <v>4.2408063018228861E-9</v>
      </c>
      <c r="AP16" s="40">
        <f t="shared" si="18"/>
        <v>4.2408063018228861E-9</v>
      </c>
      <c r="AQ16" s="40">
        <f t="shared" ref="AQ16:BA16" si="19">SUM(AQ9:AQ15)</f>
        <v>4.2408063018228861E-9</v>
      </c>
      <c r="AR16" s="40">
        <f t="shared" si="19"/>
        <v>4.2408063018228861E-9</v>
      </c>
      <c r="AS16" s="40">
        <f t="shared" si="19"/>
        <v>4.2408063018228861E-9</v>
      </c>
      <c r="AT16" s="40">
        <f t="shared" si="19"/>
        <v>4.2408063018228861E-9</v>
      </c>
      <c r="AU16" s="40">
        <f t="shared" si="19"/>
        <v>4.2408063018228861E-9</v>
      </c>
      <c r="AV16" s="40">
        <f t="shared" si="19"/>
        <v>4.2408063018228861E-9</v>
      </c>
      <c r="AW16" s="40">
        <f t="shared" si="19"/>
        <v>4.2408063018228861E-9</v>
      </c>
      <c r="AX16" s="40">
        <f t="shared" si="19"/>
        <v>4.2408063018228861E-9</v>
      </c>
      <c r="AY16" s="40">
        <f t="shared" si="19"/>
        <v>4.2408063018228861E-9</v>
      </c>
      <c r="AZ16" s="40">
        <f t="shared" si="19"/>
        <v>4.2408063018228861E-9</v>
      </c>
      <c r="BA16" s="40">
        <f t="shared" si="19"/>
        <v>4.2408063018228861E-9</v>
      </c>
      <c r="BB16" s="40">
        <f t="shared" ref="BB16:BC16" si="20">SUM(BB9:BB15)</f>
        <v>4.2408063018228861E-9</v>
      </c>
      <c r="BC16" s="40">
        <f t="shared" si="20"/>
        <v>4.2408063018228861E-9</v>
      </c>
    </row>
    <row r="17" spans="1:55">
      <c r="B17" s="3" t="s">
        <v>62</v>
      </c>
      <c r="C17" s="3">
        <f t="shared" ref="C17:BC17" si="21">1-Revenue_Taxes</f>
        <v>0.95479999999999998</v>
      </c>
      <c r="D17" s="3">
        <f t="shared" si="21"/>
        <v>0.95479999999999998</v>
      </c>
      <c r="E17" s="3">
        <f t="shared" si="21"/>
        <v>0.95479999999999998</v>
      </c>
      <c r="F17" s="3">
        <f t="shared" si="21"/>
        <v>0.95479999999999998</v>
      </c>
      <c r="G17" s="3">
        <f t="shared" si="21"/>
        <v>0.95479999999999998</v>
      </c>
      <c r="H17" s="3">
        <f t="shared" si="21"/>
        <v>0.95479999999999998</v>
      </c>
      <c r="I17" s="3">
        <f t="shared" si="21"/>
        <v>0.95479999999999998</v>
      </c>
      <c r="J17" s="3">
        <f t="shared" si="21"/>
        <v>0.95479999999999998</v>
      </c>
      <c r="K17" s="3">
        <f t="shared" si="21"/>
        <v>0.95479999999999998</v>
      </c>
      <c r="L17" s="3">
        <f t="shared" si="21"/>
        <v>0.95479999999999998</v>
      </c>
      <c r="M17" s="3">
        <f t="shared" si="21"/>
        <v>0.95479999999999998</v>
      </c>
      <c r="N17" s="3">
        <f t="shared" si="21"/>
        <v>0.95479999999999998</v>
      </c>
      <c r="O17" s="3">
        <f t="shared" si="21"/>
        <v>0.95479999999999998</v>
      </c>
      <c r="P17" s="3">
        <f t="shared" si="21"/>
        <v>0.95479999999999998</v>
      </c>
      <c r="Q17" s="3">
        <f t="shared" si="21"/>
        <v>0.95479999999999998</v>
      </c>
      <c r="R17" s="3">
        <f t="shared" si="21"/>
        <v>0.95479999999999998</v>
      </c>
      <c r="S17" s="3">
        <f t="shared" si="21"/>
        <v>0.95479999999999998</v>
      </c>
      <c r="T17" s="3">
        <f t="shared" si="21"/>
        <v>0.95479999999999998</v>
      </c>
      <c r="U17" s="3">
        <f t="shared" si="21"/>
        <v>0.95479999999999998</v>
      </c>
      <c r="V17" s="3">
        <f t="shared" si="21"/>
        <v>0.95479999999999998</v>
      </c>
      <c r="W17" s="3">
        <f t="shared" si="21"/>
        <v>0.95479999999999998</v>
      </c>
      <c r="X17" s="3">
        <f t="shared" si="21"/>
        <v>0.95479999999999998</v>
      </c>
      <c r="Y17" s="3">
        <f t="shared" si="21"/>
        <v>0.95479999999999998</v>
      </c>
      <c r="Z17" s="3">
        <f t="shared" si="21"/>
        <v>0.95479999999999998</v>
      </c>
      <c r="AA17" s="3">
        <f t="shared" si="21"/>
        <v>0.95479999999999998</v>
      </c>
      <c r="AB17" s="3">
        <f t="shared" si="21"/>
        <v>0.95479999999999998</v>
      </c>
      <c r="AC17" s="3">
        <f t="shared" si="21"/>
        <v>0.95479999999999998</v>
      </c>
      <c r="AD17" s="3">
        <f t="shared" si="21"/>
        <v>0.95479999999999998</v>
      </c>
      <c r="AE17" s="3">
        <f t="shared" si="21"/>
        <v>0.95479999999999998</v>
      </c>
      <c r="AF17" s="3">
        <f t="shared" si="21"/>
        <v>0.95479999999999998</v>
      </c>
      <c r="AG17" s="3">
        <f t="shared" si="21"/>
        <v>0.95479999999999998</v>
      </c>
      <c r="AH17" s="3">
        <f t="shared" si="21"/>
        <v>0.95479999999999998</v>
      </c>
      <c r="AI17" s="3">
        <f t="shared" si="21"/>
        <v>0.95479999999999998</v>
      </c>
      <c r="AJ17" s="3">
        <f t="shared" si="21"/>
        <v>0.95479999999999998</v>
      </c>
      <c r="AK17" s="3">
        <f t="shared" si="21"/>
        <v>0.95479999999999998</v>
      </c>
      <c r="AL17" s="3">
        <f t="shared" si="21"/>
        <v>0.95479999999999998</v>
      </c>
      <c r="AM17" s="3">
        <f t="shared" si="21"/>
        <v>0.95479999999999998</v>
      </c>
      <c r="AN17" s="3">
        <f t="shared" si="21"/>
        <v>0.95479999999999998</v>
      </c>
      <c r="AO17" s="3">
        <f t="shared" si="21"/>
        <v>0.95479999999999998</v>
      </c>
      <c r="AP17" s="3">
        <f t="shared" si="21"/>
        <v>0.95479999999999998</v>
      </c>
      <c r="AQ17" s="3">
        <f t="shared" si="21"/>
        <v>0.95479999999999998</v>
      </c>
      <c r="AR17" s="3">
        <f t="shared" si="21"/>
        <v>0.95479999999999998</v>
      </c>
      <c r="AS17" s="3">
        <f t="shared" si="21"/>
        <v>0.95479999999999998</v>
      </c>
      <c r="AT17" s="3">
        <f t="shared" si="21"/>
        <v>0.95479999999999998</v>
      </c>
      <c r="AU17" s="3">
        <f t="shared" si="21"/>
        <v>0.95479999999999998</v>
      </c>
      <c r="AV17" s="3">
        <f t="shared" si="21"/>
        <v>0.95479999999999998</v>
      </c>
      <c r="AW17" s="3">
        <f t="shared" si="21"/>
        <v>0.95479999999999998</v>
      </c>
      <c r="AX17" s="3">
        <f t="shared" si="21"/>
        <v>0.95479999999999998</v>
      </c>
      <c r="AY17" s="3">
        <f t="shared" si="21"/>
        <v>0.95479999999999998</v>
      </c>
      <c r="AZ17" s="3">
        <f t="shared" si="21"/>
        <v>0.95479999999999998</v>
      </c>
      <c r="BA17" s="3">
        <f t="shared" si="21"/>
        <v>0.95479999999999998</v>
      </c>
      <c r="BB17" s="3">
        <f t="shared" si="21"/>
        <v>0.95479999999999998</v>
      </c>
      <c r="BC17" s="3">
        <f t="shared" si="21"/>
        <v>0.95479999999999998</v>
      </c>
    </row>
    <row r="18" spans="1:55">
      <c r="B18" s="3" t="s">
        <v>54</v>
      </c>
      <c r="C18" s="274">
        <f>C16/C17</f>
        <v>-494884.6152455663</v>
      </c>
      <c r="D18" s="274">
        <f>D16/D17</f>
        <v>-5775517.0228235573</v>
      </c>
      <c r="E18" s="362">
        <f>E16/E17</f>
        <v>-2990464.9761160687</v>
      </c>
      <c r="F18" s="274">
        <f t="shared" ref="F18:AP18" si="22">F16/F17</f>
        <v>-2256855.4001743235</v>
      </c>
      <c r="G18" s="362">
        <f>G16/G17</f>
        <v>11256010.364410086</v>
      </c>
      <c r="H18" s="274">
        <f t="shared" si="22"/>
        <v>19726436.282865431</v>
      </c>
      <c r="I18" s="274">
        <f t="shared" si="22"/>
        <v>26613429.057260457</v>
      </c>
      <c r="J18" s="274">
        <f t="shared" si="22"/>
        <v>33162926.995948747</v>
      </c>
      <c r="K18" s="274">
        <f t="shared" si="22"/>
        <v>38583713.922234878</v>
      </c>
      <c r="L18" s="274">
        <f t="shared" si="22"/>
        <v>39272307.661486953</v>
      </c>
      <c r="M18" s="274">
        <f t="shared" si="22"/>
        <v>31832015.043654937</v>
      </c>
      <c r="N18" s="274">
        <f t="shared" si="22"/>
        <v>25436008.326912772</v>
      </c>
      <c r="O18" s="274">
        <f t="shared" si="22"/>
        <v>18943055.770521153</v>
      </c>
      <c r="P18" s="274">
        <f t="shared" si="22"/>
        <v>12143128.605807418</v>
      </c>
      <c r="Q18" s="274">
        <f t="shared" si="22"/>
        <v>5249123.0139070218</v>
      </c>
      <c r="R18" s="274">
        <f t="shared" si="22"/>
        <v>-965890.28851602774</v>
      </c>
      <c r="S18" s="274">
        <f t="shared" si="22"/>
        <v>-8135105.0780737987</v>
      </c>
      <c r="T18" s="274">
        <f t="shared" si="22"/>
        <v>-14785725.75570545</v>
      </c>
      <c r="U18" s="274">
        <f t="shared" si="22"/>
        <v>-19719022.553153954</v>
      </c>
      <c r="V18" s="274">
        <f t="shared" si="22"/>
        <v>-23149152.020228747</v>
      </c>
      <c r="W18" s="274">
        <f t="shared" si="22"/>
        <v>-25315010.885427047</v>
      </c>
      <c r="X18" s="274">
        <f t="shared" si="22"/>
        <v>-27492264.484544296</v>
      </c>
      <c r="Y18" s="274">
        <f t="shared" si="22"/>
        <v>30862028.297262274</v>
      </c>
      <c r="Z18" s="274">
        <f t="shared" si="22"/>
        <v>27441056.732487187</v>
      </c>
      <c r="AA18" s="274">
        <f t="shared" si="22"/>
        <v>21722850.898058183</v>
      </c>
      <c r="AB18" s="274">
        <f t="shared" si="22"/>
        <v>17011419.2522319</v>
      </c>
      <c r="AC18" s="274">
        <f t="shared" si="22"/>
        <v>12418765.841093043</v>
      </c>
      <c r="AD18" s="274">
        <f t="shared" si="22"/>
        <v>7967048.1274385937</v>
      </c>
      <c r="AE18" s="274">
        <f t="shared" si="22"/>
        <v>3660494.1821930772</v>
      </c>
      <c r="AF18" s="274">
        <f t="shared" si="22"/>
        <v>135433.03214712325</v>
      </c>
      <c r="AG18" s="274">
        <f t="shared" si="22"/>
        <v>95306.113005192587</v>
      </c>
      <c r="AH18" s="274">
        <f t="shared" si="22"/>
        <v>62103.589091734815</v>
      </c>
      <c r="AI18" s="274">
        <f t="shared" si="22"/>
        <v>30507.827095361645</v>
      </c>
      <c r="AJ18" s="274">
        <f t="shared" si="22"/>
        <v>4.4415650417080922E-9</v>
      </c>
      <c r="AK18" s="274">
        <f t="shared" si="22"/>
        <v>4.4415650417080922E-9</v>
      </c>
      <c r="AL18" s="274">
        <f t="shared" si="22"/>
        <v>4.4415650417080922E-9</v>
      </c>
      <c r="AM18" s="274">
        <f t="shared" si="22"/>
        <v>4.4415650417080922E-9</v>
      </c>
      <c r="AN18" s="274">
        <f t="shared" si="22"/>
        <v>4.4415650417080922E-9</v>
      </c>
      <c r="AO18" s="274">
        <f t="shared" si="22"/>
        <v>4.4415650417080922E-9</v>
      </c>
      <c r="AP18" s="274">
        <f t="shared" si="22"/>
        <v>4.4415650417080922E-9</v>
      </c>
      <c r="AQ18" s="274">
        <f t="shared" ref="AQ18:BA18" si="23">AQ16/AQ17</f>
        <v>4.4415650417080922E-9</v>
      </c>
      <c r="AR18" s="274">
        <f t="shared" si="23"/>
        <v>4.4415650417080922E-9</v>
      </c>
      <c r="AS18" s="274">
        <f t="shared" si="23"/>
        <v>4.4415650417080922E-9</v>
      </c>
      <c r="AT18" s="274">
        <f t="shared" si="23"/>
        <v>4.4415650417080922E-9</v>
      </c>
      <c r="AU18" s="274">
        <f t="shared" si="23"/>
        <v>4.4415650417080922E-9</v>
      </c>
      <c r="AV18" s="274">
        <f t="shared" si="23"/>
        <v>4.4415650417080922E-9</v>
      </c>
      <c r="AW18" s="274">
        <f t="shared" si="23"/>
        <v>4.4415650417080922E-9</v>
      </c>
      <c r="AX18" s="274">
        <f t="shared" si="23"/>
        <v>4.4415650417080922E-9</v>
      </c>
      <c r="AY18" s="274">
        <f t="shared" si="23"/>
        <v>4.4415650417080922E-9</v>
      </c>
      <c r="AZ18" s="274">
        <f t="shared" si="23"/>
        <v>4.4415650417080922E-9</v>
      </c>
      <c r="BA18" s="274">
        <f t="shared" si="23"/>
        <v>4.4415650417080922E-9</v>
      </c>
      <c r="BB18" s="274">
        <f t="shared" ref="BB18:BC18" si="24">BB16/BB17</f>
        <v>4.4415650417080922E-9</v>
      </c>
      <c r="BC18" s="274">
        <f t="shared" si="24"/>
        <v>4.4415650417080922E-9</v>
      </c>
    </row>
    <row r="19" spans="1:55">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row>
    <row r="20" spans="1:55" s="55" customFormat="1">
      <c r="A20" s="49"/>
      <c r="B20" s="48" t="s">
        <v>85</v>
      </c>
      <c r="C20" s="74">
        <f>(After_Tax_Cash_Discount+1)^(C$4-'Financial Assumptions'!$C$6+0.5)</f>
        <v>1.032935622388927</v>
      </c>
      <c r="D20" s="74">
        <f>(After_Tax_Cash_Discount+1)^(D$4-'Financial Assumptions'!$C$6+0.5)</f>
        <v>1.1020968599216001</v>
      </c>
      <c r="E20" s="74">
        <f>(After_Tax_Cash_Discount+1)^(E$4-'Financial Assumptions'!$C$6+0.5)</f>
        <v>1.1758888572745108</v>
      </c>
      <c r="F20" s="74">
        <f>(After_Tax_Cash_Discount+1)^(F$4-'Financial Assumptions'!$C$6+0.5)</f>
        <v>1.254621671602183</v>
      </c>
      <c r="G20" s="74">
        <f>(After_Tax_Cash_Discount+1)^(G$4-'Financial Assumptions'!$C$6+0.5)</f>
        <v>1.3386261202459786</v>
      </c>
      <c r="H20" s="74">
        <f>(After_Tax_Cash_Discount+1)^(H$4-'Financial Assumptions'!$C$6+0.5)</f>
        <v>1.4282551707531683</v>
      </c>
      <c r="I20" s="74">
        <f>(After_Tax_Cash_Discount+1)^(I$4-'Financial Assumptions'!$C$6+0.5)</f>
        <v>1.5238854239661175</v>
      </c>
      <c r="J20" s="74">
        <f>(After_Tax_Cash_Discount+1)^(J$4-'Financial Assumptions'!$C$6+0.5)</f>
        <v>1.6259186964131929</v>
      </c>
      <c r="K20" s="74">
        <f>(After_Tax_Cash_Discount+1)^(K$4-'Financial Assumptions'!$C$6+0.5)</f>
        <v>1.7347837086502347</v>
      </c>
      <c r="L20" s="74">
        <f>(After_Tax_Cash_Discount+1)^(L$4-'Financial Assumptions'!$C$6+0.5)</f>
        <v>1.85093788664662</v>
      </c>
      <c r="M20" s="74">
        <f>(After_Tax_Cash_Discount+1)^(M$4-'Financial Assumptions'!$C$6+0.5)</f>
        <v>1.9748692837849311</v>
      </c>
      <c r="N20" s="74">
        <f>(After_Tax_Cash_Discount+1)^(N$4-'Financial Assumptions'!$C$6+0.5)</f>
        <v>2.1070986315500346</v>
      </c>
      <c r="O20" s="74">
        <f>(After_Tax_Cash_Discount+1)^(O$4-'Financial Assumptions'!$C$6+0.5)</f>
        <v>2.2481815275240993</v>
      </c>
      <c r="P20" s="74">
        <f>(After_Tax_Cash_Discount+1)^(P$4-'Financial Assumptions'!$C$6+0.5)</f>
        <v>2.3987107698810024</v>
      </c>
      <c r="Q20" s="74">
        <f>(After_Tax_Cash_Discount+1)^(Q$4-'Financial Assumptions'!$C$6+0.5)</f>
        <v>2.5593188481891551</v>
      </c>
      <c r="R20" s="74">
        <f>(After_Tax_Cash_Discount+1)^(R$4-'Financial Assumptions'!$C$6+0.5)</f>
        <v>2.7306806009885078</v>
      </c>
      <c r="S20" s="74">
        <f>(After_Tax_Cash_Discount+1)^(S$4-'Financial Assumptions'!$C$6+0.5)</f>
        <v>2.9135160513082949</v>
      </c>
      <c r="T20" s="74">
        <f>(After_Tax_Cash_Discount+1)^(T$4-'Financial Assumptions'!$C$6+0.5)</f>
        <v>3.1085934320396928</v>
      </c>
      <c r="U20" s="74">
        <f>(After_Tax_Cash_Discount+1)^(U$4-'Financial Assumptions'!$C$6+0.5)</f>
        <v>3.3167324138753425</v>
      </c>
      <c r="V20" s="74">
        <f>(After_Tax_Cash_Discount+1)^(V$4-'Financial Assumptions'!$C$6+0.5)</f>
        <v>3.5388075493787805</v>
      </c>
      <c r="W20" s="74">
        <f>(After_Tax_Cash_Discount+1)^(W$4-'Financial Assumptions'!$C$6+0.5)</f>
        <v>3.7757519476549861</v>
      </c>
      <c r="X20" s="74">
        <f>(After_Tax_Cash_Discount+1)^(X$4-'Financial Assumptions'!$C$6+0.5)</f>
        <v>4.0285611950621734</v>
      </c>
      <c r="Y20" s="74">
        <f>(After_Tax_Cash_Discount+1)^(Y$4-'Financial Assumptions'!$C$6+0.5)</f>
        <v>4.2982975384387565</v>
      </c>
      <c r="Z20" s="74">
        <f>(After_Tax_Cash_Discount+1)^(Z$4-'Financial Assumptions'!$C$6+0.5)</f>
        <v>4.5860943484224617</v>
      </c>
      <c r="AA20" s="74">
        <f>(After_Tax_Cash_Discount+1)^(AA$4-'Financial Assumptions'!$C$6+0.5)</f>
        <v>4.8931608816154357</v>
      </c>
      <c r="AB20" s="74">
        <f>(After_Tax_Cash_Discount+1)^(AB$4-'Financial Assumptions'!$C$6+0.5)</f>
        <v>5.220787361604879</v>
      </c>
      <c r="AC20" s="74">
        <f>(After_Tax_Cash_Discount+1)^(AC$4-'Financial Assumptions'!$C$6+0.5)</f>
        <v>5.570350400188496</v>
      </c>
      <c r="AD20" s="74">
        <f>(After_Tax_Cash_Discount+1)^(AD$4-'Financial Assumptions'!$C$6+0.5)</f>
        <v>5.9433187815835167</v>
      </c>
      <c r="AE20" s="74">
        <f>(After_Tax_Cash_Discount+1)^(AE$4-'Financial Assumptions'!$C$6+0.5)</f>
        <v>6.3412596339232223</v>
      </c>
      <c r="AF20" s="74">
        <f>(After_Tax_Cash_Discount+1)^(AF$4-'Financial Assumptions'!$C$6+0.5)</f>
        <v>6.7658450139721866</v>
      </c>
      <c r="AG20" s="74">
        <f>(After_Tax_Cash_Discount+1)^(AG$4-'Financial Assumptions'!$C$6+0.5)</f>
        <v>7.2188589327277075</v>
      </c>
      <c r="AH20" s="74">
        <f>(After_Tax_Cash_Discount+1)^(AH$4-'Financial Assumptions'!$C$6+0.5)</f>
        <v>7.7022048514274255</v>
      </c>
      <c r="AI20" s="74">
        <f>(After_Tax_Cash_Discount+1)^(AI$4-'Financial Assumptions'!$C$6+0.5)</f>
        <v>8.2179136794595973</v>
      </c>
      <c r="AJ20" s="74">
        <f>(After_Tax_Cash_Discount+1)^(AJ$4-'Financial Assumptions'!$C$6+0.5)</f>
        <v>8.7681523077814969</v>
      </c>
      <c r="AK20" s="74">
        <f>(After_Tax_Cash_Discount+1)^(AK$4-'Financial Assumptions'!$C$6+0.5)</f>
        <v>9.3552327137013158</v>
      </c>
      <c r="AL20" s="74">
        <f>(After_Tax_Cash_Discount+1)^(AL$4-'Financial Assumptions'!$C$6+0.5)</f>
        <v>9.9816216752798983</v>
      </c>
      <c r="AM20" s="74">
        <f>(After_Tax_Cash_Discount+1)^(AM$4-'Financial Assumptions'!$C$6+0.5)</f>
        <v>10.649951136169941</v>
      </c>
      <c r="AN20" s="74">
        <f>(After_Tax_Cash_Discount+1)^(AN$4-'Financial Assumptions'!$C$6+0.5)</f>
        <v>11.363029264443337</v>
      </c>
      <c r="AO20" s="74">
        <f>(After_Tax_Cash_Discount+1)^(AO$4-'Financial Assumptions'!$C$6+0.5)</f>
        <v>12.123852251873402</v>
      </c>
      <c r="AP20" s="74">
        <f>(After_Tax_Cash_Discount+1)^(AP$4-'Financial Assumptions'!$C$6+0.5)</f>
        <v>12.935616903249841</v>
      </c>
      <c r="AQ20" s="74">
        <f>(After_Tax_Cash_Discount+1)^(AQ$4-'Financial Assumptions'!$C$6+0.5)</f>
        <v>13.801734068623839</v>
      </c>
      <c r="AR20" s="74">
        <f>(After_Tax_Cash_Discount+1)^(AR$4-'Financial Assumptions'!$C$6+0.5)</f>
        <v>14.725842974922612</v>
      </c>
      <c r="AS20" s="74">
        <f>(After_Tax_Cash_Discount+1)^(AS$4-'Financial Assumptions'!$C$6+0.5)</f>
        <v>15.711826517151533</v>
      </c>
      <c r="AT20" s="74">
        <f>(After_Tax_Cash_Discount+1)^(AT$4-'Financial Assumptions'!$C$6+0.5)</f>
        <v>16.763827573433932</v>
      </c>
      <c r="AU20" s="74">
        <f>(After_Tax_Cash_Discount+1)^(AU$4-'Financial Assumptions'!$C$6+0.5)</f>
        <v>17.886266412440772</v>
      </c>
      <c r="AV20" s="74">
        <f>(After_Tax_Cash_Discount+1)^(AV$4-'Financial Assumptions'!$C$6+0.5)</f>
        <v>19.08385926635216</v>
      </c>
      <c r="AW20" s="74">
        <f>(After_Tax_Cash_Discount+1)^(AW$4-'Financial Assumptions'!$C$6+0.5)</f>
        <v>20.361638147390039</v>
      </c>
      <c r="AX20" s="74">
        <f>(After_Tax_Cash_Discount+1)^(AX$4-'Financial Assumptions'!$C$6+0.5)</f>
        <v>21.724971991186678</v>
      </c>
      <c r="AY20" s="74">
        <f>(After_Tax_Cash_Discount+1)^(AY$4-'Financial Assumptions'!$C$6+0.5)</f>
        <v>23.179589215828578</v>
      </c>
      <c r="AZ20" s="74">
        <f>(After_Tax_Cash_Discount+1)^(AZ$4-'Financial Assumptions'!$C$6+0.5)</f>
        <v>24.731601791363591</v>
      </c>
      <c r="BA20" s="74">
        <f>(After_Tax_Cash_Discount+1)^(BA$4-'Financial Assumptions'!$C$6+0.5)</f>
        <v>26.387530920906134</v>
      </c>
      <c r="BB20" s="74">
        <f>(After_Tax_Cash_Discount+1)^(BB$4-'Financial Assumptions'!$C$6+0.5)</f>
        <v>28.154334441246331</v>
      </c>
      <c r="BC20" s="74">
        <f>(After_Tax_Cash_Discount+1)^(BC$4-'Financial Assumptions'!$C$6+0.5)</f>
        <v>30.039436058094413</v>
      </c>
    </row>
    <row r="21" spans="1:55" s="261" customFormat="1">
      <c r="A21" s="50"/>
      <c r="B21" s="53" t="s">
        <v>203</v>
      </c>
      <c r="C21" s="336">
        <f>C18/C20</f>
        <v>-479104.99407602911</v>
      </c>
      <c r="D21" s="336">
        <f t="shared" ref="D21:BC21" si="25">D18/D20</f>
        <v>-5240480.4267697576</v>
      </c>
      <c r="E21" s="336">
        <f t="shared" si="25"/>
        <v>-2543152.745785349</v>
      </c>
      <c r="F21" s="336">
        <f t="shared" si="25"/>
        <v>-1798833.4262489369</v>
      </c>
      <c r="G21" s="336">
        <f t="shared" si="25"/>
        <v>8408628.9623137955</v>
      </c>
      <c r="H21" s="336">
        <f t="shared" si="25"/>
        <v>13811563.008354452</v>
      </c>
      <c r="I21" s="336">
        <f t="shared" si="25"/>
        <v>17464192.936497428</v>
      </c>
      <c r="J21" s="336">
        <f t="shared" si="25"/>
        <v>20396423.922737826</v>
      </c>
      <c r="K21" s="336">
        <f t="shared" si="25"/>
        <v>22241224.49954024</v>
      </c>
      <c r="L21" s="336">
        <f t="shared" si="25"/>
        <v>21217517.856656633</v>
      </c>
      <c r="M21" s="336">
        <f t="shared" si="25"/>
        <v>16118542.784081062</v>
      </c>
      <c r="N21" s="336">
        <f t="shared" si="25"/>
        <v>12071579.348993933</v>
      </c>
      <c r="O21" s="336">
        <f t="shared" si="25"/>
        <v>8425945.8315997105</v>
      </c>
      <c r="P21" s="336">
        <f t="shared" si="25"/>
        <v>5062356.3116823072</v>
      </c>
      <c r="Q21" s="336">
        <f t="shared" si="25"/>
        <v>2050984.3928282075</v>
      </c>
      <c r="R21" s="336">
        <f t="shared" si="25"/>
        <v>-353717.78309274797</v>
      </c>
      <c r="S21" s="336">
        <f t="shared" si="25"/>
        <v>-2792195.0436555119</v>
      </c>
      <c r="T21" s="336">
        <f t="shared" si="25"/>
        <v>-4756403.8459683182</v>
      </c>
      <c r="U21" s="336">
        <f t="shared" si="25"/>
        <v>-5945316.0799649246</v>
      </c>
      <c r="V21" s="336">
        <f t="shared" si="25"/>
        <v>-6541511.991600804</v>
      </c>
      <c r="W21" s="336">
        <f t="shared" si="25"/>
        <v>-6704627.644077491</v>
      </c>
      <c r="X21" s="336">
        <f t="shared" si="25"/>
        <v>-6824338.306748746</v>
      </c>
      <c r="Y21" s="336">
        <f t="shared" si="25"/>
        <v>7180058.6211796058</v>
      </c>
      <c r="Z21" s="336">
        <f t="shared" si="25"/>
        <v>5983535.1494516116</v>
      </c>
      <c r="AA21" s="336">
        <f t="shared" si="25"/>
        <v>4439431.1619050158</v>
      </c>
      <c r="AB21" s="336">
        <f t="shared" si="25"/>
        <v>3258401.0943135903</v>
      </c>
      <c r="AC21" s="336">
        <f t="shared" si="25"/>
        <v>2229440.6902432567</v>
      </c>
      <c r="AD21" s="336">
        <f t="shared" si="25"/>
        <v>1340504.9300276439</v>
      </c>
      <c r="AE21" s="336">
        <f t="shared" si="25"/>
        <v>577250.32462176541</v>
      </c>
      <c r="AF21" s="336">
        <f t="shared" si="25"/>
        <v>20017.164429193941</v>
      </c>
      <c r="AG21" s="336">
        <f t="shared" si="25"/>
        <v>13202.379197785536</v>
      </c>
      <c r="AH21" s="336">
        <f t="shared" si="25"/>
        <v>8063.092359874764</v>
      </c>
      <c r="AI21" s="336">
        <f t="shared" si="25"/>
        <v>3712.3567228036172</v>
      </c>
      <c r="AJ21" s="336">
        <f t="shared" si="25"/>
        <v>5.0655655670651663E-10</v>
      </c>
      <c r="AK21" s="336">
        <f t="shared" si="25"/>
        <v>4.7476799109477483E-10</v>
      </c>
      <c r="AL21" s="336">
        <f t="shared" si="25"/>
        <v>4.4497429237454489E-10</v>
      </c>
      <c r="AM21" s="336">
        <f t="shared" si="25"/>
        <v>4.1705027421425515E-10</v>
      </c>
      <c r="AN21" s="336">
        <f t="shared" si="25"/>
        <v>3.9087860625391775E-10</v>
      </c>
      <c r="AO21" s="336">
        <f t="shared" si="25"/>
        <v>3.6634932110969702E-10</v>
      </c>
      <c r="AP21" s="336">
        <f t="shared" si="25"/>
        <v>3.4335935231602516E-10</v>
      </c>
      <c r="AQ21" s="336">
        <f t="shared" si="25"/>
        <v>3.2181210126380572E-10</v>
      </c>
      <c r="AR21" s="336">
        <f t="shared" si="25"/>
        <v>3.0161703131507375E-10</v>
      </c>
      <c r="AS21" s="336">
        <f t="shared" si="25"/>
        <v>2.8268928738867743E-10</v>
      </c>
      <c r="AT21" s="336">
        <f t="shared" si="25"/>
        <v>2.6494933941856777E-10</v>
      </c>
      <c r="AU21" s="336">
        <f t="shared" si="25"/>
        <v>2.4832264818658672E-10</v>
      </c>
      <c r="AV21" s="336">
        <f t="shared" si="25"/>
        <v>2.3273935212566091E-10</v>
      </c>
      <c r="AW21" s="336">
        <f t="shared" si="25"/>
        <v>2.1813397377741995E-10</v>
      </c>
      <c r="AX21" s="336">
        <f t="shared" si="25"/>
        <v>2.0444514467083931E-10</v>
      </c>
      <c r="AY21" s="336">
        <f t="shared" si="25"/>
        <v>1.9161534746591167E-10</v>
      </c>
      <c r="AZ21" s="336">
        <f t="shared" si="25"/>
        <v>1.7959067427889409E-10</v>
      </c>
      <c r="BA21" s="336">
        <f t="shared" si="25"/>
        <v>1.6832060017366608E-10</v>
      </c>
      <c r="BB21" s="336">
        <f t="shared" si="25"/>
        <v>1.5775777086746413E-10</v>
      </c>
      <c r="BC21" s="336">
        <f t="shared" si="25"/>
        <v>1.4785780375897802E-10</v>
      </c>
    </row>
    <row r="22" spans="1:55" s="55" customFormat="1">
      <c r="A22" s="49"/>
      <c r="B22" s="48"/>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row>
    <row r="23" spans="1:55" ht="15" thickBot="1">
      <c r="B23" s="334" t="s">
        <v>202</v>
      </c>
      <c r="C23" s="335">
        <f>SUM(C21:BC21)</f>
        <v>128342894.5317491</v>
      </c>
      <c r="D23" s="45"/>
      <c r="E23" s="45"/>
      <c r="F23" s="45"/>
      <c r="G23" s="45"/>
    </row>
    <row r="24" spans="1:55" ht="15" thickTop="1"/>
    <row r="25" spans="1:55" customFormat="1"/>
    <row r="35" spans="1:1">
      <c r="A35" s="50"/>
    </row>
    <row r="58" spans="1:1">
      <c r="A58" s="5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BM100"/>
  <sheetViews>
    <sheetView showGridLines="0" zoomScale="120" zoomScaleNormal="120" workbookViewId="0">
      <pane xSplit="2" ySplit="5" topLeftCell="C6" activePane="bottomRight" state="frozen"/>
      <selection pane="topRight" activeCell="D1" sqref="D1"/>
      <selection pane="bottomLeft" activeCell="A6" sqref="A6"/>
      <selection pane="bottomRight" activeCell="I11" sqref="I11"/>
    </sheetView>
  </sheetViews>
  <sheetFormatPr defaultColWidth="9.1796875" defaultRowHeight="12"/>
  <cols>
    <col min="1" max="1" width="25.1796875" style="3" customWidth="1"/>
    <col min="2" max="2" width="8.81640625" style="3" customWidth="1"/>
    <col min="3" max="64" width="11.1796875" style="3" customWidth="1"/>
    <col min="65" max="65" width="12.453125" style="256" bestFit="1" customWidth="1"/>
    <col min="66" max="16384" width="9.1796875" style="3"/>
  </cols>
  <sheetData>
    <row r="2" spans="1:65">
      <c r="A2" s="276" t="str">
        <f>Project_Description</f>
        <v xml:space="preserve">AMI Model </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row>
    <row r="3" spans="1:65" ht="15.65" customHeight="1">
      <c r="A3" s="23" t="s">
        <v>48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row>
    <row r="4" spans="1:65" s="42" customFormat="1">
      <c r="A4" s="27"/>
      <c r="B4" s="27"/>
      <c r="C4" s="58">
        <f>Start_Year</f>
        <v>2016</v>
      </c>
      <c r="D4" s="58">
        <f>C4+1</f>
        <v>2017</v>
      </c>
      <c r="E4" s="58">
        <f t="shared" ref="E4:AP5" si="0">D4+1</f>
        <v>2018</v>
      </c>
      <c r="F4" s="58">
        <f t="shared" si="0"/>
        <v>2019</v>
      </c>
      <c r="G4" s="58">
        <f t="shared" si="0"/>
        <v>2020</v>
      </c>
      <c r="H4" s="58">
        <f t="shared" si="0"/>
        <v>2021</v>
      </c>
      <c r="I4" s="58">
        <f t="shared" si="0"/>
        <v>2022</v>
      </c>
      <c r="J4" s="58">
        <f t="shared" si="0"/>
        <v>2023</v>
      </c>
      <c r="K4" s="58">
        <f t="shared" si="0"/>
        <v>2024</v>
      </c>
      <c r="L4" s="58">
        <f t="shared" si="0"/>
        <v>2025</v>
      </c>
      <c r="M4" s="58">
        <f t="shared" si="0"/>
        <v>2026</v>
      </c>
      <c r="N4" s="58">
        <f t="shared" si="0"/>
        <v>2027</v>
      </c>
      <c r="O4" s="58">
        <f t="shared" si="0"/>
        <v>2028</v>
      </c>
      <c r="P4" s="58">
        <f t="shared" si="0"/>
        <v>2029</v>
      </c>
      <c r="Q4" s="58">
        <f t="shared" si="0"/>
        <v>2030</v>
      </c>
      <c r="R4" s="58">
        <f t="shared" si="0"/>
        <v>2031</v>
      </c>
      <c r="S4" s="58">
        <f t="shared" si="0"/>
        <v>2032</v>
      </c>
      <c r="T4" s="58">
        <f t="shared" si="0"/>
        <v>2033</v>
      </c>
      <c r="U4" s="58">
        <f t="shared" si="0"/>
        <v>2034</v>
      </c>
      <c r="V4" s="58">
        <f t="shared" si="0"/>
        <v>2035</v>
      </c>
      <c r="W4" s="58">
        <f t="shared" si="0"/>
        <v>2036</v>
      </c>
      <c r="X4" s="58">
        <f t="shared" si="0"/>
        <v>2037</v>
      </c>
      <c r="Y4" s="58">
        <f t="shared" si="0"/>
        <v>2038</v>
      </c>
      <c r="Z4" s="58">
        <f t="shared" si="0"/>
        <v>2039</v>
      </c>
      <c r="AA4" s="58">
        <f t="shared" si="0"/>
        <v>2040</v>
      </c>
      <c r="AB4" s="58">
        <f t="shared" si="0"/>
        <v>2041</v>
      </c>
      <c r="AC4" s="58">
        <f t="shared" si="0"/>
        <v>2042</v>
      </c>
      <c r="AD4" s="58">
        <f t="shared" si="0"/>
        <v>2043</v>
      </c>
      <c r="AE4" s="58">
        <f t="shared" si="0"/>
        <v>2044</v>
      </c>
      <c r="AF4" s="58">
        <f t="shared" si="0"/>
        <v>2045</v>
      </c>
      <c r="AG4" s="58">
        <f t="shared" si="0"/>
        <v>2046</v>
      </c>
      <c r="AH4" s="58">
        <f t="shared" si="0"/>
        <v>2047</v>
      </c>
      <c r="AI4" s="58">
        <f t="shared" si="0"/>
        <v>2048</v>
      </c>
      <c r="AJ4" s="58">
        <f t="shared" si="0"/>
        <v>2049</v>
      </c>
      <c r="AK4" s="58">
        <f t="shared" si="0"/>
        <v>2050</v>
      </c>
      <c r="AL4" s="58">
        <f t="shared" si="0"/>
        <v>2051</v>
      </c>
      <c r="AM4" s="58">
        <f t="shared" si="0"/>
        <v>2052</v>
      </c>
      <c r="AN4" s="58">
        <f t="shared" si="0"/>
        <v>2053</v>
      </c>
      <c r="AO4" s="58">
        <f t="shared" si="0"/>
        <v>2054</v>
      </c>
      <c r="AP4" s="58">
        <f t="shared" si="0"/>
        <v>2055</v>
      </c>
      <c r="AQ4" s="58">
        <f t="shared" ref="AQ4:AQ5" si="1">AP4+1</f>
        <v>2056</v>
      </c>
      <c r="AR4" s="58">
        <f t="shared" ref="AR4:AR5" si="2">AQ4+1</f>
        <v>2057</v>
      </c>
      <c r="AS4" s="58">
        <f t="shared" ref="AS4:AS5" si="3">AR4+1</f>
        <v>2058</v>
      </c>
      <c r="AT4" s="58">
        <f t="shared" ref="AT4:AT5" si="4">AS4+1</f>
        <v>2059</v>
      </c>
      <c r="AU4" s="58">
        <f t="shared" ref="AU4:AU5" si="5">AT4+1</f>
        <v>2060</v>
      </c>
      <c r="AV4" s="58">
        <f t="shared" ref="AV4:AV5" si="6">AU4+1</f>
        <v>2061</v>
      </c>
      <c r="AW4" s="58">
        <f t="shared" ref="AW4:AW5" si="7">AV4+1</f>
        <v>2062</v>
      </c>
      <c r="AX4" s="58">
        <f t="shared" ref="AX4:AX5" si="8">AW4+1</f>
        <v>2063</v>
      </c>
      <c r="AY4" s="58">
        <f t="shared" ref="AY4:AY5" si="9">AX4+1</f>
        <v>2064</v>
      </c>
      <c r="AZ4" s="58">
        <f t="shared" ref="AZ4:AZ5" si="10">AY4+1</f>
        <v>2065</v>
      </c>
      <c r="BA4" s="58">
        <f t="shared" ref="BA4:BA5" si="11">AZ4+1</f>
        <v>2066</v>
      </c>
      <c r="BB4" s="58">
        <f t="shared" ref="BB4:BB5" si="12">BA4+1</f>
        <v>2067</v>
      </c>
      <c r="BC4" s="58">
        <f t="shared" ref="BC4:BC5" si="13">BB4+1</f>
        <v>2068</v>
      </c>
      <c r="BD4" s="58">
        <f t="shared" ref="BD4:BD5" si="14">BC4+1</f>
        <v>2069</v>
      </c>
      <c r="BE4" s="58">
        <f t="shared" ref="BE4:BE5" si="15">BD4+1</f>
        <v>2070</v>
      </c>
      <c r="BF4" s="58">
        <f t="shared" ref="BF4:BF5" si="16">BE4+1</f>
        <v>2071</v>
      </c>
      <c r="BG4" s="58">
        <f t="shared" ref="BG4:BG5" si="17">BF4+1</f>
        <v>2072</v>
      </c>
      <c r="BH4" s="58">
        <f t="shared" ref="BH4:BH5" si="18">BG4+1</f>
        <v>2073</v>
      </c>
      <c r="BI4" s="58">
        <f t="shared" ref="BI4:BI5" si="19">BH4+1</f>
        <v>2074</v>
      </c>
      <c r="BJ4" s="58">
        <f t="shared" ref="BJ4:BJ5" si="20">BI4+1</f>
        <v>2075</v>
      </c>
      <c r="BK4" s="58">
        <f t="shared" ref="BK4:BK5" si="21">BJ4+1</f>
        <v>2076</v>
      </c>
      <c r="BL4" s="58" t="s">
        <v>23</v>
      </c>
      <c r="BM4" s="257" t="s">
        <v>167</v>
      </c>
    </row>
    <row r="5" spans="1:65" s="255" customFormat="1">
      <c r="A5" s="253"/>
      <c r="B5" s="253"/>
      <c r="C5" s="254">
        <v>1</v>
      </c>
      <c r="D5" s="254">
        <f>C5+1</f>
        <v>2</v>
      </c>
      <c r="E5" s="254">
        <f t="shared" si="0"/>
        <v>3</v>
      </c>
      <c r="F5" s="254">
        <f t="shared" si="0"/>
        <v>4</v>
      </c>
      <c r="G5" s="254">
        <f t="shared" si="0"/>
        <v>5</v>
      </c>
      <c r="H5" s="254">
        <f t="shared" si="0"/>
        <v>6</v>
      </c>
      <c r="I5" s="254">
        <f t="shared" si="0"/>
        <v>7</v>
      </c>
      <c r="J5" s="254">
        <f t="shared" si="0"/>
        <v>8</v>
      </c>
      <c r="K5" s="254">
        <f t="shared" si="0"/>
        <v>9</v>
      </c>
      <c r="L5" s="254">
        <f t="shared" si="0"/>
        <v>10</v>
      </c>
      <c r="M5" s="254">
        <f t="shared" si="0"/>
        <v>11</v>
      </c>
      <c r="N5" s="254">
        <f t="shared" si="0"/>
        <v>12</v>
      </c>
      <c r="O5" s="254">
        <f t="shared" si="0"/>
        <v>13</v>
      </c>
      <c r="P5" s="254">
        <f t="shared" si="0"/>
        <v>14</v>
      </c>
      <c r="Q5" s="254">
        <f t="shared" si="0"/>
        <v>15</v>
      </c>
      <c r="R5" s="254">
        <f t="shared" si="0"/>
        <v>16</v>
      </c>
      <c r="S5" s="254">
        <f t="shared" si="0"/>
        <v>17</v>
      </c>
      <c r="T5" s="254">
        <f t="shared" si="0"/>
        <v>18</v>
      </c>
      <c r="U5" s="254">
        <f t="shared" si="0"/>
        <v>19</v>
      </c>
      <c r="V5" s="254">
        <f t="shared" si="0"/>
        <v>20</v>
      </c>
      <c r="W5" s="254">
        <f t="shared" si="0"/>
        <v>21</v>
      </c>
      <c r="X5" s="254">
        <f t="shared" si="0"/>
        <v>22</v>
      </c>
      <c r="Y5" s="254">
        <f t="shared" si="0"/>
        <v>23</v>
      </c>
      <c r="Z5" s="254">
        <f t="shared" si="0"/>
        <v>24</v>
      </c>
      <c r="AA5" s="254">
        <f t="shared" si="0"/>
        <v>25</v>
      </c>
      <c r="AB5" s="254">
        <f t="shared" si="0"/>
        <v>26</v>
      </c>
      <c r="AC5" s="254">
        <f t="shared" si="0"/>
        <v>27</v>
      </c>
      <c r="AD5" s="254">
        <f t="shared" si="0"/>
        <v>28</v>
      </c>
      <c r="AE5" s="254">
        <f t="shared" si="0"/>
        <v>29</v>
      </c>
      <c r="AF5" s="254">
        <f t="shared" si="0"/>
        <v>30</v>
      </c>
      <c r="AG5" s="254">
        <f t="shared" si="0"/>
        <v>31</v>
      </c>
      <c r="AH5" s="254">
        <f t="shared" si="0"/>
        <v>32</v>
      </c>
      <c r="AI5" s="254">
        <f t="shared" si="0"/>
        <v>33</v>
      </c>
      <c r="AJ5" s="254">
        <f t="shared" si="0"/>
        <v>34</v>
      </c>
      <c r="AK5" s="254">
        <f t="shared" si="0"/>
        <v>35</v>
      </c>
      <c r="AL5" s="254">
        <f t="shared" si="0"/>
        <v>36</v>
      </c>
      <c r="AM5" s="254">
        <f t="shared" si="0"/>
        <v>37</v>
      </c>
      <c r="AN5" s="254">
        <f t="shared" si="0"/>
        <v>38</v>
      </c>
      <c r="AO5" s="254">
        <f t="shared" si="0"/>
        <v>39</v>
      </c>
      <c r="AP5" s="254">
        <f t="shared" si="0"/>
        <v>40</v>
      </c>
      <c r="AQ5" s="254">
        <f t="shared" si="1"/>
        <v>41</v>
      </c>
      <c r="AR5" s="254">
        <f t="shared" si="2"/>
        <v>42</v>
      </c>
      <c r="AS5" s="254">
        <f t="shared" si="3"/>
        <v>43</v>
      </c>
      <c r="AT5" s="254">
        <f t="shared" si="4"/>
        <v>44</v>
      </c>
      <c r="AU5" s="254">
        <f t="shared" si="5"/>
        <v>45</v>
      </c>
      <c r="AV5" s="254">
        <f t="shared" si="6"/>
        <v>46</v>
      </c>
      <c r="AW5" s="254">
        <f t="shared" si="7"/>
        <v>47</v>
      </c>
      <c r="AX5" s="254">
        <f t="shared" si="8"/>
        <v>48</v>
      </c>
      <c r="AY5" s="254">
        <f t="shared" si="9"/>
        <v>49</v>
      </c>
      <c r="AZ5" s="254">
        <f t="shared" si="10"/>
        <v>50</v>
      </c>
      <c r="BA5" s="254">
        <f t="shared" si="11"/>
        <v>51</v>
      </c>
      <c r="BB5" s="254">
        <f t="shared" si="12"/>
        <v>52</v>
      </c>
      <c r="BC5" s="254">
        <f t="shared" si="13"/>
        <v>53</v>
      </c>
      <c r="BD5" s="254">
        <f t="shared" si="14"/>
        <v>54</v>
      </c>
      <c r="BE5" s="254">
        <f t="shared" si="15"/>
        <v>55</v>
      </c>
      <c r="BF5" s="254">
        <f t="shared" si="16"/>
        <v>56</v>
      </c>
      <c r="BG5" s="254">
        <f t="shared" si="17"/>
        <v>57</v>
      </c>
      <c r="BH5" s="254">
        <f t="shared" si="18"/>
        <v>58</v>
      </c>
      <c r="BI5" s="254">
        <f t="shared" si="19"/>
        <v>59</v>
      </c>
      <c r="BJ5" s="254">
        <f t="shared" si="20"/>
        <v>60</v>
      </c>
      <c r="BK5" s="254">
        <f t="shared" si="21"/>
        <v>61</v>
      </c>
      <c r="BL5" s="254"/>
      <c r="BM5" s="256"/>
    </row>
    <row r="6" spans="1:65" ht="14.5" customHeight="1">
      <c r="A6" s="27" t="s">
        <v>49</v>
      </c>
      <c r="B6" s="25"/>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row>
    <row r="7" spans="1:65" ht="14.5" customHeight="1">
      <c r="A7" s="25" t="s">
        <v>38</v>
      </c>
      <c r="B7" s="25"/>
      <c r="C7" s="32">
        <f>C35</f>
        <v>0</v>
      </c>
      <c r="D7" s="32">
        <f>D35</f>
        <v>21331808.445791449</v>
      </c>
      <c r="E7" s="32">
        <f t="shared" ref="E7:AP7" si="22">E35</f>
        <v>56186909.345991537</v>
      </c>
      <c r="F7" s="32">
        <f t="shared" si="22"/>
        <v>138850961.64619416</v>
      </c>
      <c r="G7" s="32">
        <f>G35</f>
        <v>207350302.10357767</v>
      </c>
      <c r="H7" s="32">
        <f t="shared" si="22"/>
        <v>278248193.93389779</v>
      </c>
      <c r="I7" s="32">
        <f t="shared" si="22"/>
        <v>351273022.51912755</v>
      </c>
      <c r="J7" s="32">
        <f t="shared" si="22"/>
        <v>426488595.96191418</v>
      </c>
      <c r="K7" s="32">
        <f t="shared" si="22"/>
        <v>491474446.25127476</v>
      </c>
      <c r="L7" s="32">
        <f t="shared" si="22"/>
        <v>492108826.54681349</v>
      </c>
      <c r="M7" s="32">
        <f t="shared" si="22"/>
        <v>492650345.34078795</v>
      </c>
      <c r="N7" s="32">
        <f t="shared" si="22"/>
        <v>493197632.45333225</v>
      </c>
      <c r="O7" s="32">
        <f t="shared" si="22"/>
        <v>493761338.17925292</v>
      </c>
      <c r="P7" s="32">
        <f t="shared" si="22"/>
        <v>493761338.17925292</v>
      </c>
      <c r="Q7" s="32">
        <f t="shared" si="22"/>
        <v>493761338.17925292</v>
      </c>
      <c r="R7" s="32">
        <f t="shared" si="22"/>
        <v>493761338.17925292</v>
      </c>
      <c r="S7" s="32">
        <f t="shared" si="22"/>
        <v>493761338.17925292</v>
      </c>
      <c r="T7" s="32">
        <f t="shared" si="22"/>
        <v>493761338.17925292</v>
      </c>
      <c r="U7" s="32">
        <f t="shared" si="22"/>
        <v>493761338.17925292</v>
      </c>
      <c r="V7" s="32">
        <f t="shared" si="22"/>
        <v>493761338.17925292</v>
      </c>
      <c r="W7" s="32">
        <f t="shared" si="22"/>
        <v>493761338.17925292</v>
      </c>
      <c r="X7" s="32">
        <f t="shared" si="22"/>
        <v>493761338.17925292</v>
      </c>
      <c r="Y7" s="32">
        <f t="shared" si="22"/>
        <v>493761338.17925292</v>
      </c>
      <c r="Z7" s="32">
        <f t="shared" si="22"/>
        <v>493761338.17925292</v>
      </c>
      <c r="AA7" s="32">
        <f t="shared" si="22"/>
        <v>493761338.17925292</v>
      </c>
      <c r="AB7" s="32">
        <f t="shared" si="22"/>
        <v>493761338.17925292</v>
      </c>
      <c r="AC7" s="32">
        <f t="shared" si="22"/>
        <v>493761338.17925292</v>
      </c>
      <c r="AD7" s="32">
        <f t="shared" si="22"/>
        <v>493761338.17925292</v>
      </c>
      <c r="AE7" s="32">
        <f>AE35</f>
        <v>493761338.17925292</v>
      </c>
      <c r="AF7" s="32">
        <f t="shared" si="22"/>
        <v>493761338.17925292</v>
      </c>
      <c r="AG7" s="32">
        <f t="shared" si="22"/>
        <v>493761338.17925292</v>
      </c>
      <c r="AH7" s="32">
        <f t="shared" si="22"/>
        <v>493761338.17925292</v>
      </c>
      <c r="AI7" s="32">
        <f t="shared" si="22"/>
        <v>493761338.17925292</v>
      </c>
      <c r="AJ7" s="32">
        <f t="shared" si="22"/>
        <v>493761338.17925292</v>
      </c>
      <c r="AK7" s="32">
        <f t="shared" si="22"/>
        <v>493761338.17925292</v>
      </c>
      <c r="AL7" s="32">
        <f t="shared" si="22"/>
        <v>493761338.17925292</v>
      </c>
      <c r="AM7" s="32">
        <f t="shared" si="22"/>
        <v>493761338.17925292</v>
      </c>
      <c r="AN7" s="32">
        <f t="shared" si="22"/>
        <v>493761338.17925292</v>
      </c>
      <c r="AO7" s="32">
        <f t="shared" si="22"/>
        <v>493761338.17925292</v>
      </c>
      <c r="AP7" s="32">
        <f t="shared" si="22"/>
        <v>493761338.17925292</v>
      </c>
      <c r="AQ7" s="32">
        <f t="shared" ref="AQ7:AX7" si="23">AQ35</f>
        <v>493761338.17925292</v>
      </c>
      <c r="AR7" s="32">
        <f t="shared" si="23"/>
        <v>493761338.17925292</v>
      </c>
      <c r="AS7" s="32">
        <f t="shared" si="23"/>
        <v>493761338.17925292</v>
      </c>
      <c r="AT7" s="32">
        <f t="shared" si="23"/>
        <v>493761338.17925292</v>
      </c>
      <c r="AU7" s="32">
        <f t="shared" si="23"/>
        <v>493761338.17925292</v>
      </c>
      <c r="AV7" s="32">
        <f t="shared" si="23"/>
        <v>493761338.17925292</v>
      </c>
      <c r="AW7" s="32">
        <f t="shared" si="23"/>
        <v>493761338.17925292</v>
      </c>
      <c r="AX7" s="32">
        <f t="shared" si="23"/>
        <v>493761338.17925292</v>
      </c>
      <c r="AY7" s="32">
        <f t="shared" ref="AY7:BB7" si="24">AY35</f>
        <v>493761338.17925292</v>
      </c>
      <c r="AZ7" s="32">
        <f t="shared" si="24"/>
        <v>493761338.17925292</v>
      </c>
      <c r="BA7" s="32">
        <f t="shared" si="24"/>
        <v>493761338.17925292</v>
      </c>
      <c r="BB7" s="32">
        <f t="shared" si="24"/>
        <v>493761338.17925292</v>
      </c>
      <c r="BC7" s="32">
        <f t="shared" ref="BC7:BK7" si="25">BC35</f>
        <v>493761338.17925292</v>
      </c>
      <c r="BD7" s="32">
        <f t="shared" si="25"/>
        <v>493761338.17925292</v>
      </c>
      <c r="BE7" s="32">
        <f t="shared" si="25"/>
        <v>493761338.17925292</v>
      </c>
      <c r="BF7" s="32">
        <f t="shared" si="25"/>
        <v>493761338.17925292</v>
      </c>
      <c r="BG7" s="32">
        <f t="shared" si="25"/>
        <v>493761338.17925292</v>
      </c>
      <c r="BH7" s="32">
        <f t="shared" si="25"/>
        <v>493761338.17925292</v>
      </c>
      <c r="BI7" s="32">
        <f t="shared" si="25"/>
        <v>493761338.17925292</v>
      </c>
      <c r="BJ7" s="32">
        <f t="shared" si="25"/>
        <v>493761338.17925292</v>
      </c>
      <c r="BK7" s="32">
        <f t="shared" si="25"/>
        <v>493761338.17925292</v>
      </c>
      <c r="BL7" s="32"/>
    </row>
    <row r="8" spans="1:65" ht="14.5" customHeight="1">
      <c r="A8" s="25" t="s">
        <v>43</v>
      </c>
      <c r="B8" s="25"/>
      <c r="C8" s="32">
        <f>-C53</f>
        <v>0</v>
      </c>
      <c r="D8" s="32">
        <f t="shared" ref="D8:AP8" si="26">-D53</f>
        <v>0</v>
      </c>
      <c r="E8" s="32">
        <f t="shared" si="26"/>
        <v>-1066590.4222895724</v>
      </c>
      <c r="F8" s="32">
        <f t="shared" si="26"/>
        <v>-3875935.8895891495</v>
      </c>
      <c r="G8" s="32">
        <f>-G53</f>
        <v>-10818483.971898858</v>
      </c>
      <c r="H8" s="32">
        <f t="shared" si="26"/>
        <v>-21185999.077077739</v>
      </c>
      <c r="I8" s="32">
        <f t="shared" si="26"/>
        <v>-35098408.773772627</v>
      </c>
      <c r="J8" s="32">
        <f t="shared" si="26"/>
        <v>-52662059.899729006</v>
      </c>
      <c r="K8" s="32">
        <f t="shared" si="26"/>
        <v>-73986489.697824717</v>
      </c>
      <c r="L8" s="32">
        <f t="shared" si="26"/>
        <v>-98560212.010388464</v>
      </c>
      <c r="M8" s="32">
        <f t="shared" si="26"/>
        <v>-123165653.33772914</v>
      </c>
      <c r="N8" s="32">
        <f t="shared" si="26"/>
        <v>-147798170.60476854</v>
      </c>
      <c r="O8" s="32">
        <f t="shared" si="26"/>
        <v>-172458052.22743517</v>
      </c>
      <c r="P8" s="32">
        <f t="shared" si="26"/>
        <v>-197146119.13639781</v>
      </c>
      <c r="Q8" s="32">
        <f t="shared" si="26"/>
        <v>-221834186.04536045</v>
      </c>
      <c r="R8" s="32">
        <f t="shared" si="26"/>
        <v>-246522252.95432308</v>
      </c>
      <c r="S8" s="32">
        <f t="shared" si="26"/>
        <v>-271210319.86328572</v>
      </c>
      <c r="T8" s="32">
        <f t="shared" si="26"/>
        <v>-295898386.77224839</v>
      </c>
      <c r="U8" s="32">
        <f t="shared" si="26"/>
        <v>-320586453.68121105</v>
      </c>
      <c r="V8" s="32">
        <f t="shared" si="26"/>
        <v>-345274520.59017372</v>
      </c>
      <c r="W8" s="32">
        <f t="shared" si="26"/>
        <v>-369962587.49913639</v>
      </c>
      <c r="X8" s="32">
        <f t="shared" si="26"/>
        <v>-394650654.40809906</v>
      </c>
      <c r="Y8" s="32">
        <f t="shared" si="26"/>
        <v>-418272130.89477211</v>
      </c>
      <c r="Z8" s="32">
        <f t="shared" si="26"/>
        <v>-440150852.3364352</v>
      </c>
      <c r="AA8" s="32">
        <f t="shared" si="26"/>
        <v>-457896371.16308814</v>
      </c>
      <c r="AB8" s="32">
        <f t="shared" si="26"/>
        <v>-472216922.96687192</v>
      </c>
      <c r="AC8" s="32">
        <f t="shared" si="26"/>
        <v>-482992580.17913967</v>
      </c>
      <c r="AD8" s="32">
        <f t="shared" si="26"/>
        <v>-490116995.96214592</v>
      </c>
      <c r="AE8" s="32">
        <f t="shared" si="26"/>
        <v>-493480633.07301289</v>
      </c>
      <c r="AF8" s="32">
        <f t="shared" si="26"/>
        <v>-493594977.66941178</v>
      </c>
      <c r="AG8" s="32">
        <f t="shared" si="26"/>
        <v>-493677603.25103372</v>
      </c>
      <c r="AH8" s="32">
        <f t="shared" si="26"/>
        <v>-493733152.89295697</v>
      </c>
      <c r="AI8" s="32">
        <f t="shared" si="26"/>
        <v>-493761338.17925298</v>
      </c>
      <c r="AJ8" s="32">
        <f t="shared" si="26"/>
        <v>-493761338.17925298</v>
      </c>
      <c r="AK8" s="32">
        <f t="shared" si="26"/>
        <v>-493761338.17925298</v>
      </c>
      <c r="AL8" s="32">
        <f t="shared" si="26"/>
        <v>-493761338.17925298</v>
      </c>
      <c r="AM8" s="32">
        <f t="shared" si="26"/>
        <v>-493761338.17925298</v>
      </c>
      <c r="AN8" s="32">
        <f t="shared" si="26"/>
        <v>-493761338.17925298</v>
      </c>
      <c r="AO8" s="32">
        <f t="shared" si="26"/>
        <v>-493761338.17925298</v>
      </c>
      <c r="AP8" s="32">
        <f t="shared" si="26"/>
        <v>-493761338.17925298</v>
      </c>
      <c r="AQ8" s="32">
        <f t="shared" ref="AQ8:AX8" si="27">-AQ53</f>
        <v>-493761338.17925298</v>
      </c>
      <c r="AR8" s="32">
        <f t="shared" si="27"/>
        <v>-493761338.17925298</v>
      </c>
      <c r="AS8" s="32">
        <f t="shared" si="27"/>
        <v>-493761338.17925298</v>
      </c>
      <c r="AT8" s="32">
        <f t="shared" si="27"/>
        <v>-493761338.17925298</v>
      </c>
      <c r="AU8" s="32">
        <f t="shared" si="27"/>
        <v>-493761338.17925298</v>
      </c>
      <c r="AV8" s="32">
        <f t="shared" si="27"/>
        <v>-493761338.17925298</v>
      </c>
      <c r="AW8" s="32">
        <f t="shared" si="27"/>
        <v>-493761338.17925298</v>
      </c>
      <c r="AX8" s="32">
        <f t="shared" si="27"/>
        <v>-493761338.17925298</v>
      </c>
      <c r="AY8" s="32">
        <f t="shared" ref="AY8:BB8" si="28">-AY53</f>
        <v>-493761338.17925298</v>
      </c>
      <c r="AZ8" s="32">
        <f t="shared" si="28"/>
        <v>-493761338.17925298</v>
      </c>
      <c r="BA8" s="32">
        <f t="shared" si="28"/>
        <v>-493761338.17925298</v>
      </c>
      <c r="BB8" s="32">
        <f t="shared" si="28"/>
        <v>-493761338.17925298</v>
      </c>
      <c r="BC8" s="32">
        <f t="shared" ref="BC8:BK8" si="29">-BC53</f>
        <v>-493761338.17925298</v>
      </c>
      <c r="BD8" s="32">
        <f t="shared" si="29"/>
        <v>-493761338.17925298</v>
      </c>
      <c r="BE8" s="32">
        <f t="shared" si="29"/>
        <v>-493761338.17925298</v>
      </c>
      <c r="BF8" s="32">
        <f t="shared" si="29"/>
        <v>-493761338.17925298</v>
      </c>
      <c r="BG8" s="32">
        <f t="shared" si="29"/>
        <v>-493761338.17925298</v>
      </c>
      <c r="BH8" s="32">
        <f t="shared" si="29"/>
        <v>-493761338.17925298</v>
      </c>
      <c r="BI8" s="32">
        <f t="shared" si="29"/>
        <v>-493761338.17925298</v>
      </c>
      <c r="BJ8" s="32">
        <f t="shared" si="29"/>
        <v>-493761338.17925298</v>
      </c>
      <c r="BK8" s="32">
        <f t="shared" si="29"/>
        <v>-493761338.17925298</v>
      </c>
      <c r="BL8" s="32"/>
    </row>
    <row r="9" spans="1:65" ht="14.5" customHeight="1">
      <c r="A9" s="25" t="s">
        <v>50</v>
      </c>
      <c r="B9" s="25"/>
      <c r="C9" s="33">
        <f>SUM(C7:C8)</f>
        <v>0</v>
      </c>
      <c r="D9" s="33">
        <f t="shared" ref="D9:AP9" si="30">SUM(D7:D8)</f>
        <v>21331808.445791449</v>
      </c>
      <c r="E9" s="33">
        <f t="shared" si="30"/>
        <v>55120318.923701964</v>
      </c>
      <c r="F9" s="33">
        <f t="shared" si="30"/>
        <v>134975025.756605</v>
      </c>
      <c r="G9" s="33">
        <f t="shared" si="30"/>
        <v>196531818.13167882</v>
      </c>
      <c r="H9" s="33">
        <f t="shared" si="30"/>
        <v>257062194.85682005</v>
      </c>
      <c r="I9" s="33">
        <f t="shared" si="30"/>
        <v>316174613.74535489</v>
      </c>
      <c r="J9" s="33">
        <f t="shared" si="30"/>
        <v>373826536.06218517</v>
      </c>
      <c r="K9" s="33">
        <f t="shared" si="30"/>
        <v>417487956.55345005</v>
      </c>
      <c r="L9" s="33">
        <f t="shared" si="30"/>
        <v>393548614.53642499</v>
      </c>
      <c r="M9" s="33">
        <f t="shared" si="30"/>
        <v>369484692.00305879</v>
      </c>
      <c r="N9" s="33">
        <f t="shared" si="30"/>
        <v>345399461.84856367</v>
      </c>
      <c r="O9" s="33">
        <f t="shared" si="30"/>
        <v>321303285.95181775</v>
      </c>
      <c r="P9" s="33">
        <f t="shared" si="30"/>
        <v>296615219.04285514</v>
      </c>
      <c r="Q9" s="33">
        <f t="shared" si="30"/>
        <v>271927152.13389248</v>
      </c>
      <c r="R9" s="33">
        <f t="shared" si="30"/>
        <v>247239085.22492984</v>
      </c>
      <c r="S9" s="33">
        <f t="shared" si="30"/>
        <v>222551018.3159672</v>
      </c>
      <c r="T9" s="33">
        <f t="shared" si="30"/>
        <v>197862951.40700454</v>
      </c>
      <c r="U9" s="33">
        <f t="shared" si="30"/>
        <v>173174884.49804187</v>
      </c>
      <c r="V9" s="33">
        <f t="shared" si="30"/>
        <v>148486817.5890792</v>
      </c>
      <c r="W9" s="33">
        <f t="shared" si="30"/>
        <v>123798750.68011653</v>
      </c>
      <c r="X9" s="33">
        <f t="shared" si="30"/>
        <v>99110683.771153867</v>
      </c>
      <c r="Y9" s="33">
        <f t="shared" si="30"/>
        <v>75489207.28448081</v>
      </c>
      <c r="Z9" s="33">
        <f t="shared" si="30"/>
        <v>53610485.842817724</v>
      </c>
      <c r="AA9" s="33">
        <f t="shared" si="30"/>
        <v>35864967.01616478</v>
      </c>
      <c r="AB9" s="33">
        <f t="shared" si="30"/>
        <v>21544415.212381005</v>
      </c>
      <c r="AC9" s="33">
        <f t="shared" si="30"/>
        <v>10768758.000113249</v>
      </c>
      <c r="AD9" s="33">
        <f t="shared" si="30"/>
        <v>3644342.217106998</v>
      </c>
      <c r="AE9" s="33">
        <f t="shared" si="30"/>
        <v>280705.1062400341</v>
      </c>
      <c r="AF9" s="33">
        <f t="shared" si="30"/>
        <v>166360.50984114408</v>
      </c>
      <c r="AG9" s="33">
        <f t="shared" si="30"/>
        <v>83734.928219199181</v>
      </c>
      <c r="AH9" s="33">
        <f t="shared" si="30"/>
        <v>28185.286295950413</v>
      </c>
      <c r="AI9" s="33">
        <f t="shared" si="30"/>
        <v>0</v>
      </c>
      <c r="AJ9" s="33">
        <f t="shared" si="30"/>
        <v>0</v>
      </c>
      <c r="AK9" s="33">
        <f t="shared" si="30"/>
        <v>0</v>
      </c>
      <c r="AL9" s="33">
        <f t="shared" si="30"/>
        <v>0</v>
      </c>
      <c r="AM9" s="33">
        <f t="shared" si="30"/>
        <v>0</v>
      </c>
      <c r="AN9" s="33">
        <f t="shared" si="30"/>
        <v>0</v>
      </c>
      <c r="AO9" s="33">
        <f t="shared" si="30"/>
        <v>0</v>
      </c>
      <c r="AP9" s="33">
        <f t="shared" si="30"/>
        <v>0</v>
      </c>
      <c r="AQ9" s="33">
        <f t="shared" ref="AQ9:AX9" si="31">SUM(AQ7:AQ8)</f>
        <v>0</v>
      </c>
      <c r="AR9" s="33">
        <f t="shared" si="31"/>
        <v>0</v>
      </c>
      <c r="AS9" s="33">
        <f t="shared" si="31"/>
        <v>0</v>
      </c>
      <c r="AT9" s="33">
        <f t="shared" si="31"/>
        <v>0</v>
      </c>
      <c r="AU9" s="33">
        <f t="shared" si="31"/>
        <v>0</v>
      </c>
      <c r="AV9" s="33">
        <f t="shared" si="31"/>
        <v>0</v>
      </c>
      <c r="AW9" s="33">
        <f t="shared" si="31"/>
        <v>0</v>
      </c>
      <c r="AX9" s="33">
        <f t="shared" si="31"/>
        <v>0</v>
      </c>
      <c r="AY9" s="33">
        <f t="shared" ref="AY9:BB9" si="32">SUM(AY7:AY8)</f>
        <v>0</v>
      </c>
      <c r="AZ9" s="33">
        <f t="shared" si="32"/>
        <v>0</v>
      </c>
      <c r="BA9" s="33">
        <f t="shared" si="32"/>
        <v>0</v>
      </c>
      <c r="BB9" s="33">
        <f t="shared" si="32"/>
        <v>0</v>
      </c>
      <c r="BC9" s="33">
        <f t="shared" ref="BC9:BK9" si="33">SUM(BC7:BC8)</f>
        <v>0</v>
      </c>
      <c r="BD9" s="33">
        <f t="shared" si="33"/>
        <v>0</v>
      </c>
      <c r="BE9" s="33">
        <f t="shared" si="33"/>
        <v>0</v>
      </c>
      <c r="BF9" s="33">
        <f t="shared" si="33"/>
        <v>0</v>
      </c>
      <c r="BG9" s="33">
        <f t="shared" si="33"/>
        <v>0</v>
      </c>
      <c r="BH9" s="33">
        <f t="shared" si="33"/>
        <v>0</v>
      </c>
      <c r="BI9" s="33">
        <f t="shared" si="33"/>
        <v>0</v>
      </c>
      <c r="BJ9" s="33">
        <f t="shared" si="33"/>
        <v>0</v>
      </c>
      <c r="BK9" s="33">
        <f t="shared" si="33"/>
        <v>0</v>
      </c>
      <c r="BL9" s="33"/>
    </row>
    <row r="10" spans="1:65" ht="14.5" customHeight="1">
      <c r="A10" s="25" t="s">
        <v>47</v>
      </c>
      <c r="B10" s="25"/>
      <c r="C10" s="32">
        <f>-C79</f>
        <v>0</v>
      </c>
      <c r="D10" s="32">
        <f t="shared" ref="D10:BK10" si="34">-D79</f>
        <v>-746613.29560270067</v>
      </c>
      <c r="E10" s="32">
        <f t="shared" si="34"/>
        <v>-2937139.1113932142</v>
      </c>
      <c r="F10" s="32">
        <f>-F79</f>
        <v>-8118104.5307259476</v>
      </c>
      <c r="G10" s="32">
        <f t="shared" si="34"/>
        <v>-15910320.514743131</v>
      </c>
      <c r="H10" s="32">
        <f t="shared" si="34"/>
        <v>-25338279.608260609</v>
      </c>
      <c r="I10" s="32">
        <f t="shared" si="34"/>
        <v>-35951502.933225714</v>
      </c>
      <c r="J10" s="32">
        <f t="shared" si="34"/>
        <v>-47427622.534108825</v>
      </c>
      <c r="K10" s="32">
        <f t="shared" si="34"/>
        <v>-59147649.265496835</v>
      </c>
      <c r="L10" s="32">
        <f t="shared" si="34"/>
        <v>-68637786.322115242</v>
      </c>
      <c r="M10" s="32">
        <f t="shared" si="34"/>
        <v>-75333892.829230219</v>
      </c>
      <c r="N10" s="32">
        <f t="shared" si="34"/>
        <v>-79866224.931409791</v>
      </c>
      <c r="O10" s="32">
        <f t="shared" si="34"/>
        <v>-82547765.739940792</v>
      </c>
      <c r="P10" s="32">
        <f t="shared" si="34"/>
        <v>-83235057.015042752</v>
      </c>
      <c r="Q10" s="32">
        <f t="shared" si="34"/>
        <v>-81981279.473378628</v>
      </c>
      <c r="R10" s="32">
        <f t="shared" si="34"/>
        <v>-79113375.135833398</v>
      </c>
      <c r="S10" s="32">
        <f t="shared" si="34"/>
        <v>-74585220.878105953</v>
      </c>
      <c r="T10" s="32">
        <f t="shared" si="34"/>
        <v>-68351721.337611452</v>
      </c>
      <c r="U10" s="32">
        <f t="shared" si="34"/>
        <v>-60508663.451560333</v>
      </c>
      <c r="V10" s="32">
        <f t="shared" si="34"/>
        <v>-51913020.264977127</v>
      </c>
      <c r="W10" s="32">
        <f t="shared" si="34"/>
        <v>-43303890.926916108</v>
      </c>
      <c r="X10" s="32">
        <f t="shared" si="34"/>
        <v>-34682274.291674405</v>
      </c>
      <c r="Y10" s="32">
        <f t="shared" si="34"/>
        <v>-26421222.549568269</v>
      </c>
      <c r="Z10" s="32">
        <f t="shared" si="34"/>
        <v>-18763670.044986196</v>
      </c>
      <c r="AA10" s="32">
        <f t="shared" si="34"/>
        <v>-12552738.455657668</v>
      </c>
      <c r="AB10" s="32">
        <f t="shared" si="34"/>
        <v>-7540545.324333352</v>
      </c>
      <c r="AC10" s="32">
        <f t="shared" si="34"/>
        <v>-3769065.3000396383</v>
      </c>
      <c r="AD10" s="32">
        <f t="shared" si="34"/>
        <v>-1275519.775987444</v>
      </c>
      <c r="AE10" s="32">
        <f>-AE79</f>
        <v>-98246.787184015615</v>
      </c>
      <c r="AF10" s="32">
        <f t="shared" si="34"/>
        <v>-58226.178444397941</v>
      </c>
      <c r="AG10" s="32">
        <f t="shared" si="34"/>
        <v>-29307.224876707412</v>
      </c>
      <c r="AH10" s="32">
        <f t="shared" si="34"/>
        <v>-9864.8502035702804</v>
      </c>
      <c r="AI10" s="32">
        <f t="shared" si="34"/>
        <v>4.116918717045337E-8</v>
      </c>
      <c r="AJ10" s="32">
        <f t="shared" si="34"/>
        <v>4.116918717045337E-8</v>
      </c>
      <c r="AK10" s="32">
        <f t="shared" si="34"/>
        <v>4.116918717045337E-8</v>
      </c>
      <c r="AL10" s="32">
        <f t="shared" si="34"/>
        <v>4.116918717045337E-8</v>
      </c>
      <c r="AM10" s="32">
        <f t="shared" si="34"/>
        <v>4.116918717045337E-8</v>
      </c>
      <c r="AN10" s="32">
        <f t="shared" si="34"/>
        <v>4.116918717045337E-8</v>
      </c>
      <c r="AO10" s="32">
        <f t="shared" si="34"/>
        <v>4.116918717045337E-8</v>
      </c>
      <c r="AP10" s="32">
        <f t="shared" si="34"/>
        <v>4.116918717045337E-8</v>
      </c>
      <c r="AQ10" s="32">
        <f t="shared" si="34"/>
        <v>4.116918717045337E-8</v>
      </c>
      <c r="AR10" s="32">
        <f t="shared" si="34"/>
        <v>4.116918717045337E-8</v>
      </c>
      <c r="AS10" s="32">
        <f t="shared" si="34"/>
        <v>4.116918717045337E-8</v>
      </c>
      <c r="AT10" s="32">
        <f t="shared" si="34"/>
        <v>4.116918717045337E-8</v>
      </c>
      <c r="AU10" s="32">
        <f t="shared" si="34"/>
        <v>4.116918717045337E-8</v>
      </c>
      <c r="AV10" s="32">
        <f t="shared" si="34"/>
        <v>4.116918717045337E-8</v>
      </c>
      <c r="AW10" s="32">
        <f t="shared" si="34"/>
        <v>4.116918717045337E-8</v>
      </c>
      <c r="AX10" s="32">
        <f t="shared" si="34"/>
        <v>4.116918717045337E-8</v>
      </c>
      <c r="AY10" s="32">
        <f t="shared" si="34"/>
        <v>4.116918717045337E-8</v>
      </c>
      <c r="AZ10" s="32">
        <f t="shared" si="34"/>
        <v>4.116918717045337E-8</v>
      </c>
      <c r="BA10" s="32">
        <f t="shared" si="34"/>
        <v>4.116918717045337E-8</v>
      </c>
      <c r="BB10" s="32">
        <f t="shared" si="34"/>
        <v>4.116918717045337E-8</v>
      </c>
      <c r="BC10" s="32">
        <f t="shared" si="34"/>
        <v>4.116918717045337E-8</v>
      </c>
      <c r="BD10" s="32">
        <f t="shared" si="34"/>
        <v>4.116918717045337E-8</v>
      </c>
      <c r="BE10" s="32">
        <f t="shared" si="34"/>
        <v>4.116918717045337E-8</v>
      </c>
      <c r="BF10" s="32">
        <f t="shared" si="34"/>
        <v>4.116918717045337E-8</v>
      </c>
      <c r="BG10" s="32">
        <f t="shared" si="34"/>
        <v>4.116918717045337E-8</v>
      </c>
      <c r="BH10" s="32">
        <f t="shared" si="34"/>
        <v>4.116918717045337E-8</v>
      </c>
      <c r="BI10" s="32">
        <f t="shared" si="34"/>
        <v>4.116918717045337E-8</v>
      </c>
      <c r="BJ10" s="32">
        <f t="shared" si="34"/>
        <v>4.116918717045337E-8</v>
      </c>
      <c r="BK10" s="32">
        <f t="shared" si="34"/>
        <v>4.116918717045337E-8</v>
      </c>
      <c r="BL10" s="32"/>
    </row>
    <row r="11" spans="1:65" s="42" customFormat="1" ht="14.5" customHeight="1">
      <c r="A11" s="232" t="s">
        <v>51</v>
      </c>
      <c r="B11" s="352">
        <v>0</v>
      </c>
      <c r="C11" s="233">
        <f>SUM(C9:C10)</f>
        <v>0</v>
      </c>
      <c r="D11" s="233">
        <f t="shared" ref="D11:AP11" si="35">SUM(D9:D10)</f>
        <v>20585195.150188748</v>
      </c>
      <c r="E11" s="233">
        <f>SUM(E9:E10)</f>
        <v>52183179.812308751</v>
      </c>
      <c r="F11" s="233">
        <f t="shared" si="35"/>
        <v>126856921.22587906</v>
      </c>
      <c r="G11" s="233">
        <f>SUM(G9:G10)</f>
        <v>180621497.6169357</v>
      </c>
      <c r="H11" s="233">
        <f>SUM(H9:H10)</f>
        <v>231723915.24855945</v>
      </c>
      <c r="I11" s="233">
        <f t="shared" si="35"/>
        <v>280223110.8121292</v>
      </c>
      <c r="J11" s="233">
        <f t="shared" si="35"/>
        <v>326398913.52807635</v>
      </c>
      <c r="K11" s="233">
        <f t="shared" si="35"/>
        <v>358340307.2879532</v>
      </c>
      <c r="L11" s="233">
        <f t="shared" si="35"/>
        <v>324910828.21430975</v>
      </c>
      <c r="M11" s="233">
        <f t="shared" si="35"/>
        <v>294150799.1738286</v>
      </c>
      <c r="N11" s="233">
        <f t="shared" si="35"/>
        <v>265533236.91715389</v>
      </c>
      <c r="O11" s="233">
        <f t="shared" si="35"/>
        <v>238755520.21187696</v>
      </c>
      <c r="P11" s="233">
        <f t="shared" si="35"/>
        <v>213380162.02781239</v>
      </c>
      <c r="Q11" s="233">
        <f t="shared" si="35"/>
        <v>189945872.66051385</v>
      </c>
      <c r="R11" s="233">
        <f t="shared" si="35"/>
        <v>168125710.08909643</v>
      </c>
      <c r="S11" s="233">
        <f t="shared" si="35"/>
        <v>147965797.43786126</v>
      </c>
      <c r="T11" s="233">
        <f t="shared" si="35"/>
        <v>129511230.06939308</v>
      </c>
      <c r="U11" s="233">
        <f t="shared" si="35"/>
        <v>112666221.04648153</v>
      </c>
      <c r="V11" s="233">
        <f t="shared" si="35"/>
        <v>96573797.324102074</v>
      </c>
      <c r="W11" s="233">
        <f t="shared" si="35"/>
        <v>80494859.753200427</v>
      </c>
      <c r="X11" s="233">
        <f t="shared" si="35"/>
        <v>64428409.479479462</v>
      </c>
      <c r="Y11" s="233">
        <f t="shared" si="35"/>
        <v>49067984.734912544</v>
      </c>
      <c r="Z11" s="233">
        <f t="shared" si="35"/>
        <v>34846815.797831528</v>
      </c>
      <c r="AA11" s="233">
        <f t="shared" si="35"/>
        <v>23312228.560507111</v>
      </c>
      <c r="AB11" s="233">
        <f t="shared" si="35"/>
        <v>14003869.888047654</v>
      </c>
      <c r="AC11" s="233">
        <f t="shared" si="35"/>
        <v>6999692.700073611</v>
      </c>
      <c r="AD11" s="233">
        <f t="shared" si="35"/>
        <v>2368822.441119554</v>
      </c>
      <c r="AE11" s="233">
        <f t="shared" si="35"/>
        <v>182458.31905601849</v>
      </c>
      <c r="AF11" s="233">
        <f t="shared" si="35"/>
        <v>108134.33139674614</v>
      </c>
      <c r="AG11" s="233">
        <f t="shared" si="35"/>
        <v>54427.703342491768</v>
      </c>
      <c r="AH11" s="233">
        <f t="shared" si="35"/>
        <v>18320.436092380132</v>
      </c>
      <c r="AI11" s="233">
        <f t="shared" si="35"/>
        <v>4.116918717045337E-8</v>
      </c>
      <c r="AJ11" s="233">
        <f t="shared" si="35"/>
        <v>4.116918717045337E-8</v>
      </c>
      <c r="AK11" s="233">
        <f t="shared" si="35"/>
        <v>4.116918717045337E-8</v>
      </c>
      <c r="AL11" s="233">
        <f t="shared" si="35"/>
        <v>4.116918717045337E-8</v>
      </c>
      <c r="AM11" s="233">
        <f t="shared" si="35"/>
        <v>4.116918717045337E-8</v>
      </c>
      <c r="AN11" s="233">
        <f t="shared" si="35"/>
        <v>4.116918717045337E-8</v>
      </c>
      <c r="AO11" s="233">
        <f t="shared" si="35"/>
        <v>4.116918717045337E-8</v>
      </c>
      <c r="AP11" s="233">
        <f t="shared" si="35"/>
        <v>4.116918717045337E-8</v>
      </c>
      <c r="AQ11" s="233">
        <f t="shared" ref="AQ11:AX11" si="36">SUM(AQ9:AQ10)</f>
        <v>4.116918717045337E-8</v>
      </c>
      <c r="AR11" s="233">
        <f t="shared" si="36"/>
        <v>4.116918717045337E-8</v>
      </c>
      <c r="AS11" s="233">
        <f t="shared" si="36"/>
        <v>4.116918717045337E-8</v>
      </c>
      <c r="AT11" s="233">
        <f t="shared" si="36"/>
        <v>4.116918717045337E-8</v>
      </c>
      <c r="AU11" s="233">
        <f t="shared" si="36"/>
        <v>4.116918717045337E-8</v>
      </c>
      <c r="AV11" s="233">
        <f t="shared" si="36"/>
        <v>4.116918717045337E-8</v>
      </c>
      <c r="AW11" s="233">
        <f t="shared" si="36"/>
        <v>4.116918717045337E-8</v>
      </c>
      <c r="AX11" s="233">
        <f t="shared" si="36"/>
        <v>4.116918717045337E-8</v>
      </c>
      <c r="AY11" s="233">
        <f t="shared" ref="AY11:BB11" si="37">SUM(AY9:AY10)</f>
        <v>4.116918717045337E-8</v>
      </c>
      <c r="AZ11" s="233">
        <f t="shared" si="37"/>
        <v>4.116918717045337E-8</v>
      </c>
      <c r="BA11" s="233">
        <f t="shared" si="37"/>
        <v>4.116918717045337E-8</v>
      </c>
      <c r="BB11" s="233">
        <f t="shared" si="37"/>
        <v>4.116918717045337E-8</v>
      </c>
      <c r="BC11" s="233">
        <f t="shared" ref="BC11:BK11" si="38">SUM(BC9:BC10)</f>
        <v>4.116918717045337E-8</v>
      </c>
      <c r="BD11" s="233">
        <f t="shared" si="38"/>
        <v>4.116918717045337E-8</v>
      </c>
      <c r="BE11" s="233">
        <f t="shared" si="38"/>
        <v>4.116918717045337E-8</v>
      </c>
      <c r="BF11" s="233">
        <f t="shared" si="38"/>
        <v>4.116918717045337E-8</v>
      </c>
      <c r="BG11" s="233">
        <f t="shared" si="38"/>
        <v>4.116918717045337E-8</v>
      </c>
      <c r="BH11" s="233">
        <f t="shared" si="38"/>
        <v>4.116918717045337E-8</v>
      </c>
      <c r="BI11" s="233">
        <f t="shared" si="38"/>
        <v>4.116918717045337E-8</v>
      </c>
      <c r="BJ11" s="233">
        <f t="shared" si="38"/>
        <v>4.116918717045337E-8</v>
      </c>
      <c r="BK11" s="233">
        <f t="shared" si="38"/>
        <v>4.116918717045337E-8</v>
      </c>
      <c r="BL11" s="233"/>
      <c r="BM11" s="257"/>
    </row>
    <row r="12" spans="1:65" ht="14.5" customHeight="1">
      <c r="A12" s="25"/>
      <c r="B12" s="25"/>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row>
    <row r="13" spans="1:65" ht="14.5" customHeight="1">
      <c r="A13" s="25" t="s">
        <v>12</v>
      </c>
      <c r="B13" s="25">
        <v>0</v>
      </c>
      <c r="C13" s="32">
        <f>(C$14+C$15)/2</f>
        <v>0</v>
      </c>
      <c r="D13" s="32">
        <f t="shared" ref="D13:BK13" si="39">(D$14+D$15)/2</f>
        <v>10292597.575094374</v>
      </c>
      <c r="E13" s="32">
        <f t="shared" si="39"/>
        <v>36384187.481248751</v>
      </c>
      <c r="F13" s="32">
        <f t="shared" si="39"/>
        <v>89520050.519093901</v>
      </c>
      <c r="G13" s="32">
        <f t="shared" si="39"/>
        <v>153739209.42140737</v>
      </c>
      <c r="H13" s="32">
        <f t="shared" si="39"/>
        <v>206172706.43274757</v>
      </c>
      <c r="I13" s="32">
        <f t="shared" si="39"/>
        <v>255973513.03034431</v>
      </c>
      <c r="J13" s="32">
        <f t="shared" si="39"/>
        <v>303311012.17010278</v>
      </c>
      <c r="K13" s="32">
        <f t="shared" si="39"/>
        <v>342369610.40801477</v>
      </c>
      <c r="L13" s="32">
        <f t="shared" si="39"/>
        <v>341625567.75113147</v>
      </c>
      <c r="M13" s="32">
        <f t="shared" si="39"/>
        <v>309530813.69406915</v>
      </c>
      <c r="N13" s="32">
        <f t="shared" si="39"/>
        <v>279842018.04549122</v>
      </c>
      <c r="O13" s="32">
        <f t="shared" si="39"/>
        <v>252144378.56451541</v>
      </c>
      <c r="P13" s="32">
        <f t="shared" si="39"/>
        <v>226067841.11984468</v>
      </c>
      <c r="Q13" s="32">
        <f t="shared" si="39"/>
        <v>201663017.34416312</v>
      </c>
      <c r="R13" s="32">
        <f t="shared" si="39"/>
        <v>179035791.37480515</v>
      </c>
      <c r="S13" s="32">
        <f t="shared" si="39"/>
        <v>158045753.76347885</v>
      </c>
      <c r="T13" s="32">
        <f t="shared" si="39"/>
        <v>138738513.75362718</v>
      </c>
      <c r="U13" s="32">
        <f t="shared" si="39"/>
        <v>121088725.55793731</v>
      </c>
      <c r="V13" s="32">
        <f t="shared" si="39"/>
        <v>104620009.1852918</v>
      </c>
      <c r="W13" s="32">
        <f t="shared" si="39"/>
        <v>88534328.538651258</v>
      </c>
      <c r="X13" s="32">
        <f t="shared" si="39"/>
        <v>72461634.616339952</v>
      </c>
      <c r="Y13" s="32">
        <f t="shared" si="39"/>
        <v>56748197.107196003</v>
      </c>
      <c r="Z13" s="32">
        <f t="shared" si="39"/>
        <v>41957400.26637204</v>
      </c>
      <c r="AA13" s="32">
        <f t="shared" si="39"/>
        <v>29079522.17916932</v>
      </c>
      <c r="AB13" s="32">
        <f t="shared" si="39"/>
        <v>18658049.224277385</v>
      </c>
      <c r="AC13" s="32">
        <f t="shared" si="39"/>
        <v>10501781.294060633</v>
      </c>
      <c r="AD13" s="32">
        <f t="shared" si="39"/>
        <v>4684257.5705965823</v>
      </c>
      <c r="AE13" s="32">
        <f t="shared" si="39"/>
        <v>1275640.3800877864</v>
      </c>
      <c r="AF13" s="32">
        <f t="shared" si="39"/>
        <v>145296.32522638232</v>
      </c>
      <c r="AG13" s="32">
        <f t="shared" si="39"/>
        <v>81281.017369618959</v>
      </c>
      <c r="AH13" s="32">
        <f t="shared" si="39"/>
        <v>36374.069717435952</v>
      </c>
      <c r="AI13" s="32">
        <f t="shared" si="39"/>
        <v>9160.2180462106517</v>
      </c>
      <c r="AJ13" s="32">
        <f t="shared" si="39"/>
        <v>4.116918717045337E-8</v>
      </c>
      <c r="AK13" s="32">
        <f t="shared" si="39"/>
        <v>4.116918717045337E-8</v>
      </c>
      <c r="AL13" s="32">
        <f t="shared" si="39"/>
        <v>4.116918717045337E-8</v>
      </c>
      <c r="AM13" s="32">
        <f t="shared" si="39"/>
        <v>4.116918717045337E-8</v>
      </c>
      <c r="AN13" s="32">
        <f t="shared" si="39"/>
        <v>4.116918717045337E-8</v>
      </c>
      <c r="AO13" s="32">
        <f t="shared" si="39"/>
        <v>4.116918717045337E-8</v>
      </c>
      <c r="AP13" s="32">
        <f t="shared" si="39"/>
        <v>4.116918717045337E-8</v>
      </c>
      <c r="AQ13" s="32">
        <f t="shared" si="39"/>
        <v>4.116918717045337E-8</v>
      </c>
      <c r="AR13" s="32">
        <f t="shared" si="39"/>
        <v>4.116918717045337E-8</v>
      </c>
      <c r="AS13" s="32">
        <f t="shared" si="39"/>
        <v>4.116918717045337E-8</v>
      </c>
      <c r="AT13" s="32">
        <f t="shared" si="39"/>
        <v>4.116918717045337E-8</v>
      </c>
      <c r="AU13" s="32">
        <f t="shared" si="39"/>
        <v>4.116918717045337E-8</v>
      </c>
      <c r="AV13" s="32">
        <f t="shared" si="39"/>
        <v>4.116918717045337E-8</v>
      </c>
      <c r="AW13" s="32">
        <f t="shared" si="39"/>
        <v>4.116918717045337E-8</v>
      </c>
      <c r="AX13" s="32">
        <f t="shared" si="39"/>
        <v>4.116918717045337E-8</v>
      </c>
      <c r="AY13" s="32">
        <f t="shared" si="39"/>
        <v>4.116918717045337E-8</v>
      </c>
      <c r="AZ13" s="32">
        <f t="shared" si="39"/>
        <v>4.116918717045337E-8</v>
      </c>
      <c r="BA13" s="32">
        <f t="shared" si="39"/>
        <v>4.116918717045337E-8</v>
      </c>
      <c r="BB13" s="32">
        <f t="shared" si="39"/>
        <v>4.116918717045337E-8</v>
      </c>
      <c r="BC13" s="32">
        <f t="shared" si="39"/>
        <v>4.116918717045337E-8</v>
      </c>
      <c r="BD13" s="32">
        <f t="shared" si="39"/>
        <v>4.116918717045337E-8</v>
      </c>
      <c r="BE13" s="32">
        <f t="shared" si="39"/>
        <v>4.116918717045337E-8</v>
      </c>
      <c r="BF13" s="32">
        <f t="shared" si="39"/>
        <v>4.116918717045337E-8</v>
      </c>
      <c r="BG13" s="32">
        <f t="shared" si="39"/>
        <v>4.116918717045337E-8</v>
      </c>
      <c r="BH13" s="32">
        <f t="shared" si="39"/>
        <v>4.116918717045337E-8</v>
      </c>
      <c r="BI13" s="32">
        <f t="shared" si="39"/>
        <v>4.116918717045337E-8</v>
      </c>
      <c r="BJ13" s="32">
        <f t="shared" si="39"/>
        <v>4.116918717045337E-8</v>
      </c>
      <c r="BK13" s="32">
        <f t="shared" si="39"/>
        <v>4.116918717045337E-8</v>
      </c>
      <c r="BL13" s="32"/>
    </row>
    <row r="14" spans="1:65" ht="14.5" customHeight="1">
      <c r="A14" s="25" t="s">
        <v>52</v>
      </c>
      <c r="B14" s="25">
        <v>0</v>
      </c>
      <c r="C14" s="32">
        <f>B11</f>
        <v>0</v>
      </c>
      <c r="D14" s="32">
        <f>C11</f>
        <v>0</v>
      </c>
      <c r="E14" s="32">
        <f t="shared" ref="E14:AO14" si="40">D11</f>
        <v>20585195.150188748</v>
      </c>
      <c r="F14" s="32">
        <f t="shared" si="40"/>
        <v>52183179.812308751</v>
      </c>
      <c r="G14" s="32">
        <f>F11</f>
        <v>126856921.22587906</v>
      </c>
      <c r="H14" s="32">
        <f t="shared" si="40"/>
        <v>180621497.6169357</v>
      </c>
      <c r="I14" s="32">
        <f t="shared" si="40"/>
        <v>231723915.24855945</v>
      </c>
      <c r="J14" s="32">
        <f t="shared" si="40"/>
        <v>280223110.8121292</v>
      </c>
      <c r="K14" s="32">
        <f t="shared" si="40"/>
        <v>326398913.52807635</v>
      </c>
      <c r="L14" s="32">
        <f t="shared" si="40"/>
        <v>358340307.2879532</v>
      </c>
      <c r="M14" s="32">
        <f t="shared" si="40"/>
        <v>324910828.21430975</v>
      </c>
      <c r="N14" s="32">
        <f t="shared" si="40"/>
        <v>294150799.1738286</v>
      </c>
      <c r="O14" s="32">
        <f t="shared" si="40"/>
        <v>265533236.91715389</v>
      </c>
      <c r="P14" s="32">
        <f t="shared" si="40"/>
        <v>238755520.21187696</v>
      </c>
      <c r="Q14" s="32">
        <f t="shared" si="40"/>
        <v>213380162.02781239</v>
      </c>
      <c r="R14" s="32">
        <f t="shared" si="40"/>
        <v>189945872.66051385</v>
      </c>
      <c r="S14" s="32">
        <f t="shared" si="40"/>
        <v>168125710.08909643</v>
      </c>
      <c r="T14" s="32">
        <f t="shared" si="40"/>
        <v>147965797.43786126</v>
      </c>
      <c r="U14" s="32">
        <f t="shared" si="40"/>
        <v>129511230.06939308</v>
      </c>
      <c r="V14" s="32">
        <f t="shared" si="40"/>
        <v>112666221.04648153</v>
      </c>
      <c r="W14" s="32">
        <f t="shared" si="40"/>
        <v>96573797.324102074</v>
      </c>
      <c r="X14" s="32">
        <f t="shared" si="40"/>
        <v>80494859.753200427</v>
      </c>
      <c r="Y14" s="32">
        <f t="shared" si="40"/>
        <v>64428409.479479462</v>
      </c>
      <c r="Z14" s="32">
        <f t="shared" si="40"/>
        <v>49067984.734912544</v>
      </c>
      <c r="AA14" s="32">
        <f t="shared" si="40"/>
        <v>34846815.797831528</v>
      </c>
      <c r="AB14" s="32">
        <f t="shared" si="40"/>
        <v>23312228.560507111</v>
      </c>
      <c r="AC14" s="32">
        <f t="shared" si="40"/>
        <v>14003869.888047654</v>
      </c>
      <c r="AD14" s="32">
        <f t="shared" si="40"/>
        <v>6999692.700073611</v>
      </c>
      <c r="AE14" s="32">
        <f t="shared" si="40"/>
        <v>2368822.441119554</v>
      </c>
      <c r="AF14" s="32">
        <f t="shared" si="40"/>
        <v>182458.31905601849</v>
      </c>
      <c r="AG14" s="32">
        <f t="shared" si="40"/>
        <v>108134.33139674614</v>
      </c>
      <c r="AH14" s="32">
        <f t="shared" si="40"/>
        <v>54427.703342491768</v>
      </c>
      <c r="AI14" s="32">
        <f t="shared" si="40"/>
        <v>18320.436092380132</v>
      </c>
      <c r="AJ14" s="32">
        <f t="shared" si="40"/>
        <v>4.116918717045337E-8</v>
      </c>
      <c r="AK14" s="32">
        <f t="shared" si="40"/>
        <v>4.116918717045337E-8</v>
      </c>
      <c r="AL14" s="32">
        <f t="shared" si="40"/>
        <v>4.116918717045337E-8</v>
      </c>
      <c r="AM14" s="32">
        <f t="shared" si="40"/>
        <v>4.116918717045337E-8</v>
      </c>
      <c r="AN14" s="32">
        <f t="shared" si="40"/>
        <v>4.116918717045337E-8</v>
      </c>
      <c r="AO14" s="32">
        <f t="shared" si="40"/>
        <v>4.116918717045337E-8</v>
      </c>
      <c r="AP14" s="32">
        <f>AO11</f>
        <v>4.116918717045337E-8</v>
      </c>
      <c r="AQ14" s="32">
        <f t="shared" ref="AQ14" si="41">AP11</f>
        <v>4.116918717045337E-8</v>
      </c>
      <c r="AR14" s="32">
        <f t="shared" ref="AR14" si="42">AQ11</f>
        <v>4.116918717045337E-8</v>
      </c>
      <c r="AS14" s="32">
        <f t="shared" ref="AS14" si="43">AR11</f>
        <v>4.116918717045337E-8</v>
      </c>
      <c r="AT14" s="32">
        <f t="shared" ref="AT14" si="44">AS11</f>
        <v>4.116918717045337E-8</v>
      </c>
      <c r="AU14" s="32">
        <f t="shared" ref="AU14" si="45">AT11</f>
        <v>4.116918717045337E-8</v>
      </c>
      <c r="AV14" s="32">
        <f t="shared" ref="AV14" si="46">AU11</f>
        <v>4.116918717045337E-8</v>
      </c>
      <c r="AW14" s="32">
        <f t="shared" ref="AW14" si="47">AV11</f>
        <v>4.116918717045337E-8</v>
      </c>
      <c r="AX14" s="32">
        <f t="shared" ref="AX14" si="48">AW11</f>
        <v>4.116918717045337E-8</v>
      </c>
      <c r="AY14" s="32">
        <f t="shared" ref="AY14" si="49">AX11</f>
        <v>4.116918717045337E-8</v>
      </c>
      <c r="AZ14" s="32">
        <f t="shared" ref="AZ14" si="50">AY11</f>
        <v>4.116918717045337E-8</v>
      </c>
      <c r="BA14" s="32">
        <f t="shared" ref="BA14" si="51">AZ11</f>
        <v>4.116918717045337E-8</v>
      </c>
      <c r="BB14" s="32">
        <f t="shared" ref="BB14" si="52">BA11</f>
        <v>4.116918717045337E-8</v>
      </c>
      <c r="BC14" s="32">
        <f t="shared" ref="BC14" si="53">BB11</f>
        <v>4.116918717045337E-8</v>
      </c>
      <c r="BD14" s="32">
        <f t="shared" ref="BD14" si="54">BC11</f>
        <v>4.116918717045337E-8</v>
      </c>
      <c r="BE14" s="32">
        <f t="shared" ref="BE14" si="55">BD11</f>
        <v>4.116918717045337E-8</v>
      </c>
      <c r="BF14" s="32">
        <f t="shared" ref="BF14" si="56">BE11</f>
        <v>4.116918717045337E-8</v>
      </c>
      <c r="BG14" s="32">
        <f t="shared" ref="BG14" si="57">BF11</f>
        <v>4.116918717045337E-8</v>
      </c>
      <c r="BH14" s="32">
        <f t="shared" ref="BH14" si="58">BG11</f>
        <v>4.116918717045337E-8</v>
      </c>
      <c r="BI14" s="32">
        <f t="shared" ref="BI14" si="59">BH11</f>
        <v>4.116918717045337E-8</v>
      </c>
      <c r="BJ14" s="32">
        <f t="shared" ref="BJ14" si="60">BI11</f>
        <v>4.116918717045337E-8</v>
      </c>
      <c r="BK14" s="32">
        <f t="shared" ref="BK14" si="61">BJ11</f>
        <v>4.116918717045337E-8</v>
      </c>
      <c r="BL14" s="32"/>
    </row>
    <row r="15" spans="1:65" ht="14.5" customHeight="1">
      <c r="A15" s="25" t="s">
        <v>53</v>
      </c>
      <c r="B15" s="25">
        <v>0</v>
      </c>
      <c r="C15" s="32">
        <f>C11</f>
        <v>0</v>
      </c>
      <c r="D15" s="32">
        <f>D11</f>
        <v>20585195.150188748</v>
      </c>
      <c r="E15" s="32">
        <f t="shared" ref="E15:AP15" si="62">E11</f>
        <v>52183179.812308751</v>
      </c>
      <c r="F15" s="32">
        <f t="shared" si="62"/>
        <v>126856921.22587906</v>
      </c>
      <c r="G15" s="32">
        <f t="shared" si="62"/>
        <v>180621497.6169357</v>
      </c>
      <c r="H15" s="32">
        <f t="shared" si="62"/>
        <v>231723915.24855945</v>
      </c>
      <c r="I15" s="32">
        <f t="shared" si="62"/>
        <v>280223110.8121292</v>
      </c>
      <c r="J15" s="32">
        <f t="shared" si="62"/>
        <v>326398913.52807635</v>
      </c>
      <c r="K15" s="32">
        <f t="shared" si="62"/>
        <v>358340307.2879532</v>
      </c>
      <c r="L15" s="32">
        <f t="shared" si="62"/>
        <v>324910828.21430975</v>
      </c>
      <c r="M15" s="32">
        <f t="shared" si="62"/>
        <v>294150799.1738286</v>
      </c>
      <c r="N15" s="32">
        <f t="shared" si="62"/>
        <v>265533236.91715389</v>
      </c>
      <c r="O15" s="32">
        <f t="shared" si="62"/>
        <v>238755520.21187696</v>
      </c>
      <c r="P15" s="32">
        <f t="shared" si="62"/>
        <v>213380162.02781239</v>
      </c>
      <c r="Q15" s="32">
        <f t="shared" si="62"/>
        <v>189945872.66051385</v>
      </c>
      <c r="R15" s="32">
        <f t="shared" si="62"/>
        <v>168125710.08909643</v>
      </c>
      <c r="S15" s="32">
        <f t="shared" si="62"/>
        <v>147965797.43786126</v>
      </c>
      <c r="T15" s="32">
        <f t="shared" si="62"/>
        <v>129511230.06939308</v>
      </c>
      <c r="U15" s="32">
        <f t="shared" si="62"/>
        <v>112666221.04648153</v>
      </c>
      <c r="V15" s="32">
        <f t="shared" si="62"/>
        <v>96573797.324102074</v>
      </c>
      <c r="W15" s="32">
        <f t="shared" si="62"/>
        <v>80494859.753200427</v>
      </c>
      <c r="X15" s="32">
        <f t="shared" si="62"/>
        <v>64428409.479479462</v>
      </c>
      <c r="Y15" s="32">
        <f t="shared" si="62"/>
        <v>49067984.734912544</v>
      </c>
      <c r="Z15" s="32">
        <f t="shared" si="62"/>
        <v>34846815.797831528</v>
      </c>
      <c r="AA15" s="32">
        <f t="shared" si="62"/>
        <v>23312228.560507111</v>
      </c>
      <c r="AB15" s="32">
        <f t="shared" si="62"/>
        <v>14003869.888047654</v>
      </c>
      <c r="AC15" s="32">
        <f t="shared" si="62"/>
        <v>6999692.700073611</v>
      </c>
      <c r="AD15" s="32">
        <f t="shared" si="62"/>
        <v>2368822.441119554</v>
      </c>
      <c r="AE15" s="32">
        <f t="shared" si="62"/>
        <v>182458.31905601849</v>
      </c>
      <c r="AF15" s="32">
        <f t="shared" si="62"/>
        <v>108134.33139674614</v>
      </c>
      <c r="AG15" s="32">
        <f t="shared" si="62"/>
        <v>54427.703342491768</v>
      </c>
      <c r="AH15" s="32">
        <f t="shared" si="62"/>
        <v>18320.436092380132</v>
      </c>
      <c r="AI15" s="32">
        <f t="shared" si="62"/>
        <v>4.116918717045337E-8</v>
      </c>
      <c r="AJ15" s="32">
        <f t="shared" si="62"/>
        <v>4.116918717045337E-8</v>
      </c>
      <c r="AK15" s="32">
        <f t="shared" si="62"/>
        <v>4.116918717045337E-8</v>
      </c>
      <c r="AL15" s="32">
        <f t="shared" si="62"/>
        <v>4.116918717045337E-8</v>
      </c>
      <c r="AM15" s="32">
        <f t="shared" si="62"/>
        <v>4.116918717045337E-8</v>
      </c>
      <c r="AN15" s="32">
        <f t="shared" si="62"/>
        <v>4.116918717045337E-8</v>
      </c>
      <c r="AO15" s="32">
        <f t="shared" si="62"/>
        <v>4.116918717045337E-8</v>
      </c>
      <c r="AP15" s="32">
        <f t="shared" si="62"/>
        <v>4.116918717045337E-8</v>
      </c>
      <c r="AQ15" s="32">
        <f t="shared" ref="AQ15:AX15" si="63">AQ11</f>
        <v>4.116918717045337E-8</v>
      </c>
      <c r="AR15" s="32">
        <f t="shared" si="63"/>
        <v>4.116918717045337E-8</v>
      </c>
      <c r="AS15" s="32">
        <f t="shared" si="63"/>
        <v>4.116918717045337E-8</v>
      </c>
      <c r="AT15" s="32">
        <f t="shared" si="63"/>
        <v>4.116918717045337E-8</v>
      </c>
      <c r="AU15" s="32">
        <f t="shared" si="63"/>
        <v>4.116918717045337E-8</v>
      </c>
      <c r="AV15" s="32">
        <f t="shared" si="63"/>
        <v>4.116918717045337E-8</v>
      </c>
      <c r="AW15" s="32">
        <f t="shared" si="63"/>
        <v>4.116918717045337E-8</v>
      </c>
      <c r="AX15" s="32">
        <f t="shared" si="63"/>
        <v>4.116918717045337E-8</v>
      </c>
      <c r="AY15" s="32">
        <f t="shared" ref="AY15:BB15" si="64">AY11</f>
        <v>4.116918717045337E-8</v>
      </c>
      <c r="AZ15" s="32">
        <f t="shared" si="64"/>
        <v>4.116918717045337E-8</v>
      </c>
      <c r="BA15" s="32">
        <f t="shared" si="64"/>
        <v>4.116918717045337E-8</v>
      </c>
      <c r="BB15" s="32">
        <f t="shared" si="64"/>
        <v>4.116918717045337E-8</v>
      </c>
      <c r="BC15" s="32">
        <f t="shared" ref="BC15:BK15" si="65">BC11</f>
        <v>4.116918717045337E-8</v>
      </c>
      <c r="BD15" s="32">
        <f t="shared" si="65"/>
        <v>4.116918717045337E-8</v>
      </c>
      <c r="BE15" s="32">
        <f t="shared" si="65"/>
        <v>4.116918717045337E-8</v>
      </c>
      <c r="BF15" s="32">
        <f t="shared" si="65"/>
        <v>4.116918717045337E-8</v>
      </c>
      <c r="BG15" s="32">
        <f t="shared" si="65"/>
        <v>4.116918717045337E-8</v>
      </c>
      <c r="BH15" s="32">
        <f t="shared" si="65"/>
        <v>4.116918717045337E-8</v>
      </c>
      <c r="BI15" s="32">
        <f t="shared" si="65"/>
        <v>4.116918717045337E-8</v>
      </c>
      <c r="BJ15" s="32">
        <f t="shared" si="65"/>
        <v>4.116918717045337E-8</v>
      </c>
      <c r="BK15" s="32">
        <f t="shared" si="65"/>
        <v>4.116918717045337E-8</v>
      </c>
      <c r="BL15" s="32"/>
    </row>
    <row r="16" spans="1:65" ht="14.5" customHeight="1">
      <c r="A16" s="25"/>
      <c r="B16" s="2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row>
    <row r="17" spans="1:65" ht="14.5" customHeight="1">
      <c r="B17" s="2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row>
    <row r="18" spans="1:65" s="236" customFormat="1" ht="14.5" customHeight="1">
      <c r="A18" s="234" t="str">
        <f>'Financial Assumptions'!C28</f>
        <v>Average</v>
      </c>
      <c r="B18" s="234"/>
      <c r="C18" s="235">
        <f>VLOOKUP($A18,'Plant Results'!$A$13:C15,C4-$C$4+3)</f>
        <v>0</v>
      </c>
      <c r="D18" s="235">
        <f>VLOOKUP($A18,'Plant Results'!$A$13:D15,D4-$C$4+3)</f>
        <v>10292597.575094374</v>
      </c>
      <c r="E18" s="235">
        <f>VLOOKUP($A18,'Plant Results'!$A$13:E15,E4-$C$4+3)</f>
        <v>36384187.481248751</v>
      </c>
      <c r="F18" s="235">
        <f>VLOOKUP($A18,'Plant Results'!$A$13:F15,F4-$C$4+3)</f>
        <v>89520050.519093901</v>
      </c>
      <c r="G18" s="235">
        <f>VLOOKUP($A18,'Plant Results'!$A$13:G15,G4-$C$4+3)</f>
        <v>153739209.42140737</v>
      </c>
      <c r="H18" s="235">
        <f>VLOOKUP($A18,'Plant Results'!$A$13:H15,H4-$C$4+3)</f>
        <v>206172706.43274757</v>
      </c>
      <c r="I18" s="235">
        <f>VLOOKUP($A18,'Plant Results'!$A$13:I15,I4-$C$4+3)</f>
        <v>255973513.03034431</v>
      </c>
      <c r="J18" s="235">
        <f>VLOOKUP($A18,'Plant Results'!$A$13:J15,J4-$C$4+3)</f>
        <v>303311012.17010278</v>
      </c>
      <c r="K18" s="235">
        <f>VLOOKUP($A18,'Plant Results'!$A$13:K15,K4-$C$4+3)</f>
        <v>342369610.40801477</v>
      </c>
      <c r="L18" s="235">
        <f>VLOOKUP($A18,'Plant Results'!$A$13:L15,L4-$C$4+3)</f>
        <v>341625567.75113147</v>
      </c>
      <c r="M18" s="235">
        <f>VLOOKUP($A18,'Plant Results'!$A$13:M15,M4-$C$4+3)</f>
        <v>309530813.69406915</v>
      </c>
      <c r="N18" s="235">
        <f>VLOOKUP($A18,'Plant Results'!$A$13:N15,N4-$C$4+3)</f>
        <v>279842018.04549122</v>
      </c>
      <c r="O18" s="235">
        <f>VLOOKUP($A18,'Plant Results'!$A$13:O15,O4-$C$4+3)</f>
        <v>252144378.56451541</v>
      </c>
      <c r="P18" s="235">
        <f>VLOOKUP($A18,'Plant Results'!$A$13:P15,P4-$C$4+3)</f>
        <v>226067841.11984468</v>
      </c>
      <c r="Q18" s="235">
        <f>VLOOKUP($A18,'Plant Results'!$A$13:Q15,Q4-$C$4+3)</f>
        <v>201663017.34416312</v>
      </c>
      <c r="R18" s="235">
        <f>VLOOKUP($A18,'Plant Results'!$A$13:R15,R4-$C$4+3)</f>
        <v>179035791.37480515</v>
      </c>
      <c r="S18" s="235">
        <f>VLOOKUP($A18,'Plant Results'!$A$13:S15,S4-$C$4+3)</f>
        <v>158045753.76347885</v>
      </c>
      <c r="T18" s="235">
        <f>VLOOKUP($A18,'Plant Results'!$A$13:T15,T4-$C$4+3)</f>
        <v>138738513.75362718</v>
      </c>
      <c r="U18" s="235">
        <f>VLOOKUP($A18,'Plant Results'!$A$13:U15,U4-$C$4+3)</f>
        <v>121088725.55793731</v>
      </c>
      <c r="V18" s="235">
        <f>VLOOKUP($A18,'Plant Results'!$A$13:V15,V4-$C$4+3)</f>
        <v>104620009.1852918</v>
      </c>
      <c r="W18" s="235">
        <f>VLOOKUP($A18,'Plant Results'!$A$13:W15,W4-$C$4+3)</f>
        <v>88534328.538651258</v>
      </c>
      <c r="X18" s="235">
        <f>VLOOKUP($A18,'Plant Results'!$A$13:X15,X4-$C$4+3)</f>
        <v>72461634.616339952</v>
      </c>
      <c r="Y18" s="235">
        <f>VLOOKUP($A18,'Plant Results'!$A$13:Y15,Y4-$C$4+3)</f>
        <v>56748197.107196003</v>
      </c>
      <c r="Z18" s="235">
        <f>VLOOKUP($A18,'Plant Results'!$A$13:Z15,Z4-$C$4+3)</f>
        <v>41957400.26637204</v>
      </c>
      <c r="AA18" s="235">
        <f>VLOOKUP($A18,'Plant Results'!$A$13:AA15,AA4-$C$4+3)</f>
        <v>29079522.17916932</v>
      </c>
      <c r="AB18" s="235">
        <f>VLOOKUP($A18,'Plant Results'!$A$13:AB15,AB4-$C$4+3)</f>
        <v>18658049.224277385</v>
      </c>
      <c r="AC18" s="235">
        <f>VLOOKUP($A18,'Plant Results'!$A$13:AC15,AC4-$C$4+3)</f>
        <v>10501781.294060633</v>
      </c>
      <c r="AD18" s="235">
        <f>VLOOKUP($A18,'Plant Results'!$A$13:AD15,AD4-$C$4+3)</f>
        <v>4684257.5705965823</v>
      </c>
      <c r="AE18" s="235">
        <f>VLOOKUP($A18,'Plant Results'!$A$13:AE15,AE4-$C$4+3)</f>
        <v>1275640.3800877864</v>
      </c>
      <c r="AF18" s="235">
        <f>VLOOKUP($A18,'Plant Results'!$A$13:AF15,AF4-$C$4+3)</f>
        <v>145296.32522638232</v>
      </c>
      <c r="AG18" s="235">
        <f>VLOOKUP($A18,'Plant Results'!$A$13:AG15,AG4-$C$4+3)</f>
        <v>81281.017369618959</v>
      </c>
      <c r="AH18" s="235">
        <f>VLOOKUP($A18,'Plant Results'!$A$13:AH15,AH4-$C$4+3)</f>
        <v>36374.069717435952</v>
      </c>
      <c r="AI18" s="235">
        <f>VLOOKUP($A18,'Plant Results'!$A$13:AI15,AI4-$C$4+3)</f>
        <v>9160.2180462106517</v>
      </c>
      <c r="AJ18" s="235">
        <f>VLOOKUP($A18,'Plant Results'!$A$13:AJ15,AJ4-$C$4+3)</f>
        <v>4.116918717045337E-8</v>
      </c>
      <c r="AK18" s="235">
        <f>VLOOKUP($A18,'Plant Results'!$A$13:AK15,AK4-$C$4+3)</f>
        <v>4.116918717045337E-8</v>
      </c>
      <c r="AL18" s="235">
        <f>VLOOKUP($A18,'Plant Results'!$A$13:AL15,AL4-$C$4+3)</f>
        <v>4.116918717045337E-8</v>
      </c>
      <c r="AM18" s="235">
        <f>VLOOKUP($A18,'Plant Results'!$A$13:AM15,AM4-$C$4+3)</f>
        <v>4.116918717045337E-8</v>
      </c>
      <c r="AN18" s="235">
        <f>VLOOKUP($A18,'Plant Results'!$A$13:AN15,AN4-$C$4+3)</f>
        <v>4.116918717045337E-8</v>
      </c>
      <c r="AO18" s="235">
        <f>VLOOKUP($A18,'Plant Results'!$A$13:AO15,AO4-$C$4+3)</f>
        <v>4.116918717045337E-8</v>
      </c>
      <c r="AP18" s="235">
        <f>VLOOKUP($A18,'Plant Results'!$A$13:AP15,AP4-$C$4+3)</f>
        <v>4.116918717045337E-8</v>
      </c>
      <c r="AQ18" s="235">
        <f>VLOOKUP($A18,'Plant Results'!$A$13:AQ15,AQ4-$C$4+3)</f>
        <v>4.116918717045337E-8</v>
      </c>
      <c r="AR18" s="235">
        <f>VLOOKUP($A18,'Plant Results'!$A$13:AR15,AR4-$C$4+3)</f>
        <v>4.116918717045337E-8</v>
      </c>
      <c r="AS18" s="235">
        <f>VLOOKUP($A18,'Plant Results'!$A$13:AS15,AS4-$C$4+3)</f>
        <v>4.116918717045337E-8</v>
      </c>
      <c r="AT18" s="235">
        <f>VLOOKUP($A18,'Plant Results'!$A$13:AT15,AT4-$C$4+3)</f>
        <v>4.116918717045337E-8</v>
      </c>
      <c r="AU18" s="235">
        <f>VLOOKUP($A18,'Plant Results'!$A$13:AU15,AU4-$C$4+3)</f>
        <v>4.116918717045337E-8</v>
      </c>
      <c r="AV18" s="235">
        <f>VLOOKUP($A18,'Plant Results'!$A$13:AV15,AV4-$C$4+3)</f>
        <v>4.116918717045337E-8</v>
      </c>
      <c r="AW18" s="235">
        <f>VLOOKUP($A18,'Plant Results'!$A$13:AW15,AW4-$C$4+3)</f>
        <v>4.116918717045337E-8</v>
      </c>
      <c r="AX18" s="235">
        <f>VLOOKUP($A18,'Plant Results'!$A$13:AX15,AX4-$C$4+3)</f>
        <v>4.116918717045337E-8</v>
      </c>
      <c r="AY18" s="235">
        <f>VLOOKUP($A18,'Plant Results'!$A$13:AY15,AY4-$C$4+3)</f>
        <v>4.116918717045337E-8</v>
      </c>
      <c r="AZ18" s="235">
        <f>VLOOKUP($A18,'Plant Results'!$A$13:AZ15,AZ4-$C$4+3)</f>
        <v>4.116918717045337E-8</v>
      </c>
      <c r="BA18" s="235">
        <f>VLOOKUP($A18,'Plant Results'!$A$13:BA15,BA4-$C$4+3)</f>
        <v>4.116918717045337E-8</v>
      </c>
      <c r="BB18" s="235">
        <f>VLOOKUP($A18,'Plant Results'!$A$13:BB15,BB4-$C$4+3)</f>
        <v>4.116918717045337E-8</v>
      </c>
      <c r="BC18" s="235">
        <f>VLOOKUP($A18,'Plant Results'!$A$13:BC15,BC4-$C$4+3)</f>
        <v>4.116918717045337E-8</v>
      </c>
      <c r="BD18" s="235">
        <f>VLOOKUP($A18,'Plant Results'!$A$13:BD15,BD4-$C$4+3)</f>
        <v>4.116918717045337E-8</v>
      </c>
      <c r="BE18" s="235">
        <f>VLOOKUP($A18,'Plant Results'!$A$13:BE15,BE4-$C$4+3)</f>
        <v>4.116918717045337E-8</v>
      </c>
      <c r="BF18" s="235">
        <f>VLOOKUP($A18,'Plant Results'!$A$13:BF15,BF4-$C$4+3)</f>
        <v>4.116918717045337E-8</v>
      </c>
      <c r="BG18" s="235">
        <f>VLOOKUP($A18,'Plant Results'!$A$13:BG15,BG4-$C$4+3)</f>
        <v>4.116918717045337E-8</v>
      </c>
      <c r="BH18" s="235">
        <f>VLOOKUP($A18,'Plant Results'!$A$13:BH15,BH4-$C$4+3)</f>
        <v>4.116918717045337E-8</v>
      </c>
      <c r="BI18" s="235">
        <f>VLOOKUP($A18,'Plant Results'!$A$13:BI15,BI4-$C$4+3)</f>
        <v>4.116918717045337E-8</v>
      </c>
      <c r="BJ18" s="235">
        <f>VLOOKUP($A18,'Plant Results'!$A$13:BJ15,BJ4-$C$4+3)</f>
        <v>4.116918717045337E-8</v>
      </c>
      <c r="BK18" s="235">
        <f>VLOOKUP($A18,'Plant Results'!$A$13:BK15,BK4-$C$4+3)</f>
        <v>4.116918717045337E-8</v>
      </c>
      <c r="BL18" s="235"/>
      <c r="BM18" s="258"/>
    </row>
    <row r="19" spans="1:65" ht="14.5" customHeight="1">
      <c r="A19" s="25"/>
      <c r="B19" s="2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row>
    <row r="20" spans="1:65" ht="14.5" customHeight="1">
      <c r="A20" s="25"/>
      <c r="B20" s="25"/>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row>
    <row r="21" spans="1:65" ht="14.5" customHeight="1">
      <c r="A21" s="25"/>
      <c r="B21" s="25"/>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row>
    <row r="22" spans="1:65" ht="14.5" customHeight="1">
      <c r="A22" s="27" t="s">
        <v>38</v>
      </c>
      <c r="B22" s="80" t="s">
        <v>30</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row>
    <row r="23" spans="1:65" ht="14.5" customHeight="1">
      <c r="A23" s="25" t="str">
        <f>'Project Assumptions'!B25</f>
        <v>Capital Expenditure 1</v>
      </c>
      <c r="B23" s="25">
        <f>'Project Assumptions'!E25</f>
        <v>2017</v>
      </c>
      <c r="C23" s="28">
        <f>'Capital Results '!D8</f>
        <v>0</v>
      </c>
      <c r="D23" s="32">
        <f>'Capital Results '!E8+C23</f>
        <v>21331808.445791449</v>
      </c>
      <c r="E23" s="32">
        <f>'Capital Results '!F8+D23</f>
        <v>21331808.445791449</v>
      </c>
      <c r="F23" s="32">
        <f>'Capital Results '!G8+E23</f>
        <v>21331808.445791449</v>
      </c>
      <c r="G23" s="32">
        <f>'Capital Results '!H8+F23</f>
        <v>21331808.445791449</v>
      </c>
      <c r="H23" s="32">
        <f>'Capital Results '!I8+G23</f>
        <v>21331808.445791449</v>
      </c>
      <c r="I23" s="32">
        <f>'Capital Results '!J8+H23</f>
        <v>21331808.445791449</v>
      </c>
      <c r="J23" s="32">
        <f>'Capital Results '!K8+I23</f>
        <v>21331808.445791449</v>
      </c>
      <c r="K23" s="32">
        <f>'Capital Results '!L8+J23</f>
        <v>21331808.445791449</v>
      </c>
      <c r="L23" s="32">
        <f>'Capital Results '!M8+K23</f>
        <v>21331808.445791449</v>
      </c>
      <c r="M23" s="32">
        <f>'Capital Results '!N8+L23</f>
        <v>21331808.445791449</v>
      </c>
      <c r="N23" s="32">
        <f>'Capital Results '!O8+M23</f>
        <v>21331808.445791449</v>
      </c>
      <c r="O23" s="32">
        <f>'Capital Results '!P8+N23</f>
        <v>21331808.445791449</v>
      </c>
      <c r="P23" s="32">
        <f>'Capital Results '!Q8+O23</f>
        <v>21331808.445791449</v>
      </c>
      <c r="Q23" s="32">
        <f>'Capital Results '!R8+P23</f>
        <v>21331808.445791449</v>
      </c>
      <c r="R23" s="32">
        <f>'Capital Results '!S8+Q23</f>
        <v>21331808.445791449</v>
      </c>
      <c r="S23" s="32">
        <f>'Capital Results '!T8+R23</f>
        <v>21331808.445791449</v>
      </c>
      <c r="T23" s="32">
        <f>'Capital Results '!U8+S23</f>
        <v>21331808.445791449</v>
      </c>
      <c r="U23" s="32">
        <f>'Capital Results '!V8+T23</f>
        <v>21331808.445791449</v>
      </c>
      <c r="V23" s="32">
        <f>'Capital Results '!W8+U23</f>
        <v>21331808.445791449</v>
      </c>
      <c r="W23" s="32">
        <f>'Capital Results '!X8+V23</f>
        <v>21331808.445791449</v>
      </c>
      <c r="X23" s="32">
        <f>'Capital Results '!Y8+W23</f>
        <v>21331808.445791449</v>
      </c>
      <c r="Y23" s="32">
        <f>'Capital Results '!Z8+X23</f>
        <v>21331808.445791449</v>
      </c>
      <c r="Z23" s="32">
        <f>'Capital Results '!AA8+Y23</f>
        <v>21331808.445791449</v>
      </c>
      <c r="AA23" s="32">
        <f>'Capital Results '!AB8+Z23</f>
        <v>21331808.445791449</v>
      </c>
      <c r="AB23" s="32">
        <f>'Capital Results '!AC8+AA23</f>
        <v>21331808.445791449</v>
      </c>
      <c r="AC23" s="32">
        <f>'Capital Results '!AD8+AB23</f>
        <v>21331808.445791449</v>
      </c>
      <c r="AD23" s="32">
        <f>'Capital Results '!AE8+AC23</f>
        <v>21331808.445791449</v>
      </c>
      <c r="AE23" s="32">
        <f>'Capital Results '!AF8+AD23</f>
        <v>21331808.445791449</v>
      </c>
      <c r="AF23" s="32">
        <f>'Capital Results '!AG8+AE23</f>
        <v>21331808.445791449</v>
      </c>
      <c r="AG23" s="32">
        <f>'Capital Results '!AH8+AF23</f>
        <v>21331808.445791449</v>
      </c>
      <c r="AH23" s="32">
        <f>'Capital Results '!AI8+AG23</f>
        <v>21331808.445791449</v>
      </c>
      <c r="AI23" s="32">
        <f>'Capital Results '!AJ8+AH23</f>
        <v>21331808.445791449</v>
      </c>
      <c r="AJ23" s="32">
        <f>'Capital Results '!AK8+AI23</f>
        <v>21331808.445791449</v>
      </c>
      <c r="AK23" s="32">
        <f>'Capital Results '!AL8+AJ23</f>
        <v>21331808.445791449</v>
      </c>
      <c r="AL23" s="32">
        <f>'Capital Results '!AM8+AK23</f>
        <v>21331808.445791449</v>
      </c>
      <c r="AM23" s="32">
        <f>'Capital Results '!AN8+AL23</f>
        <v>21331808.445791449</v>
      </c>
      <c r="AN23" s="32">
        <f>'Capital Results '!AO8+AM23</f>
        <v>21331808.445791449</v>
      </c>
      <c r="AO23" s="32">
        <f>'Capital Results '!AP8+AN23</f>
        <v>21331808.445791449</v>
      </c>
      <c r="AP23" s="32">
        <f>'Capital Results '!AQ8+AO23</f>
        <v>21331808.445791449</v>
      </c>
      <c r="AQ23" s="32">
        <f>'Capital Results '!AR8+AP23</f>
        <v>21331808.445791449</v>
      </c>
      <c r="AR23" s="32">
        <f>'Capital Results '!AS8+AQ23</f>
        <v>21331808.445791449</v>
      </c>
      <c r="AS23" s="32">
        <f>'Capital Results '!AT8+AR23</f>
        <v>21331808.445791449</v>
      </c>
      <c r="AT23" s="32">
        <f>'Capital Results '!AU8+AS23</f>
        <v>21331808.445791449</v>
      </c>
      <c r="AU23" s="32">
        <f>'Capital Results '!AV8+AT23</f>
        <v>21331808.445791449</v>
      </c>
      <c r="AV23" s="32">
        <f>'Capital Results '!AW8+AU23</f>
        <v>21331808.445791449</v>
      </c>
      <c r="AW23" s="32">
        <f>'Capital Results '!AX8+AV23</f>
        <v>21331808.445791449</v>
      </c>
      <c r="AX23" s="32">
        <f>'Capital Results '!AY8+AW23</f>
        <v>21331808.445791449</v>
      </c>
      <c r="AY23" s="32">
        <f>'Capital Results '!AZ8+AX23</f>
        <v>21331808.445791449</v>
      </c>
      <c r="AZ23" s="32">
        <f>'Capital Results '!BA8+AY23</f>
        <v>21331808.445791449</v>
      </c>
      <c r="BA23" s="32">
        <f>'Capital Results '!BB8+AZ23</f>
        <v>21331808.445791449</v>
      </c>
      <c r="BB23" s="32">
        <f>'Capital Results '!BC8+BA23</f>
        <v>21331808.445791449</v>
      </c>
      <c r="BC23" s="32">
        <f>'Capital Results '!BD8+BB23</f>
        <v>21331808.445791449</v>
      </c>
      <c r="BD23" s="32">
        <f>'Capital Results '!BE8+BC23</f>
        <v>21331808.445791449</v>
      </c>
      <c r="BE23" s="32">
        <f>'Capital Results '!BF8+BD23</f>
        <v>21331808.445791449</v>
      </c>
      <c r="BF23" s="32">
        <f>'Capital Results '!BG8+BE23</f>
        <v>21331808.445791449</v>
      </c>
      <c r="BG23" s="32">
        <f>'Capital Results '!BH8+BF23</f>
        <v>21331808.445791449</v>
      </c>
      <c r="BH23" s="32">
        <f>'Capital Results '!BI8+BG23</f>
        <v>21331808.445791449</v>
      </c>
      <c r="BI23" s="32">
        <f>'Capital Results '!BJ8+BH23</f>
        <v>21331808.445791449</v>
      </c>
      <c r="BJ23" s="32">
        <f>'Capital Results '!BK8+BI23</f>
        <v>21331808.445791449</v>
      </c>
      <c r="BK23" s="32">
        <f>'Capital Results '!BL8+BJ23</f>
        <v>21331808.445791449</v>
      </c>
      <c r="BL23" s="32"/>
    </row>
    <row r="24" spans="1:65" ht="14.5" customHeight="1">
      <c r="A24" s="25" t="str">
        <f>'Project Assumptions'!B26</f>
        <v>Capital Expenditure 2</v>
      </c>
      <c r="B24" s="25">
        <f>'Project Assumptions'!E26</f>
        <v>2018</v>
      </c>
      <c r="C24" s="28">
        <f>'Capital Results '!D9</f>
        <v>0</v>
      </c>
      <c r="D24" s="32">
        <f>'Capital Results '!E9+C24</f>
        <v>0</v>
      </c>
      <c r="E24" s="32">
        <f>'Capital Results '!F9+D24</f>
        <v>34855100.900200084</v>
      </c>
      <c r="F24" s="32">
        <f>'Capital Results '!G9+E24</f>
        <v>34855100.900200084</v>
      </c>
      <c r="G24" s="32">
        <f>'Capital Results '!H9+F24</f>
        <v>34855100.900200084</v>
      </c>
      <c r="H24" s="32">
        <f>'Capital Results '!I9+G24</f>
        <v>34855100.900200084</v>
      </c>
      <c r="I24" s="32">
        <f>'Capital Results '!J9+H24</f>
        <v>34855100.900200084</v>
      </c>
      <c r="J24" s="32">
        <f>'Capital Results '!K9+I24</f>
        <v>34855100.900200084</v>
      </c>
      <c r="K24" s="32">
        <f>'Capital Results '!L9+J24</f>
        <v>34855100.900200084</v>
      </c>
      <c r="L24" s="32">
        <f>'Capital Results '!M9+K24</f>
        <v>34855100.900200084</v>
      </c>
      <c r="M24" s="32">
        <f>'Capital Results '!N9+L24</f>
        <v>34855100.900200084</v>
      </c>
      <c r="N24" s="32">
        <f>'Capital Results '!O9+M24</f>
        <v>34855100.900200084</v>
      </c>
      <c r="O24" s="32">
        <f>'Capital Results '!P9+N24</f>
        <v>34855100.900200084</v>
      </c>
      <c r="P24" s="32">
        <f>'Capital Results '!Q9+O24</f>
        <v>34855100.900200084</v>
      </c>
      <c r="Q24" s="32">
        <f>'Capital Results '!R9+P24</f>
        <v>34855100.900200084</v>
      </c>
      <c r="R24" s="32">
        <f>'Capital Results '!S9+Q24</f>
        <v>34855100.900200084</v>
      </c>
      <c r="S24" s="32">
        <f>'Capital Results '!T9+R24</f>
        <v>34855100.900200084</v>
      </c>
      <c r="T24" s="32">
        <f>'Capital Results '!U9+S24</f>
        <v>34855100.900200084</v>
      </c>
      <c r="U24" s="32">
        <f>'Capital Results '!V9+T24</f>
        <v>34855100.900200084</v>
      </c>
      <c r="V24" s="32">
        <f>'Capital Results '!W9+U24</f>
        <v>34855100.900200084</v>
      </c>
      <c r="W24" s="32">
        <f>'Capital Results '!X9+V24</f>
        <v>34855100.900200084</v>
      </c>
      <c r="X24" s="32">
        <f>'Capital Results '!Y9+W24</f>
        <v>34855100.900200084</v>
      </c>
      <c r="Y24" s="32">
        <f>'Capital Results '!Z9+X24</f>
        <v>34855100.900200084</v>
      </c>
      <c r="Z24" s="32">
        <f>'Capital Results '!AA9+Y24</f>
        <v>34855100.900200084</v>
      </c>
      <c r="AA24" s="32">
        <f>'Capital Results '!AB9+Z24</f>
        <v>34855100.900200084</v>
      </c>
      <c r="AB24" s="32">
        <f>'Capital Results '!AC9+AA24</f>
        <v>34855100.900200084</v>
      </c>
      <c r="AC24" s="32">
        <f>'Capital Results '!AD9+AB24</f>
        <v>34855100.900200084</v>
      </c>
      <c r="AD24" s="32">
        <f>'Capital Results '!AE9+AC24</f>
        <v>34855100.900200084</v>
      </c>
      <c r="AE24" s="32">
        <f>'Capital Results '!AF9+AD24</f>
        <v>34855100.900200084</v>
      </c>
      <c r="AF24" s="32">
        <f>'Capital Results '!AG9+AE24</f>
        <v>34855100.900200084</v>
      </c>
      <c r="AG24" s="32">
        <f>'Capital Results '!AH9+AF24</f>
        <v>34855100.900200084</v>
      </c>
      <c r="AH24" s="32">
        <f>'Capital Results '!AI9+AG24</f>
        <v>34855100.900200084</v>
      </c>
      <c r="AI24" s="32">
        <f>'Capital Results '!AJ9+AH24</f>
        <v>34855100.900200084</v>
      </c>
      <c r="AJ24" s="32">
        <f>'Capital Results '!AK9+AI24</f>
        <v>34855100.900200084</v>
      </c>
      <c r="AK24" s="32">
        <f>'Capital Results '!AL9+AJ24</f>
        <v>34855100.900200084</v>
      </c>
      <c r="AL24" s="32">
        <f>'Capital Results '!AM9+AK24</f>
        <v>34855100.900200084</v>
      </c>
      <c r="AM24" s="32">
        <f>'Capital Results '!AN9+AL24</f>
        <v>34855100.900200084</v>
      </c>
      <c r="AN24" s="32">
        <f>'Capital Results '!AO9+AM24</f>
        <v>34855100.900200084</v>
      </c>
      <c r="AO24" s="32">
        <f>'Capital Results '!AP9+AN24</f>
        <v>34855100.900200084</v>
      </c>
      <c r="AP24" s="32">
        <f>'Capital Results '!AQ9+AO24</f>
        <v>34855100.900200084</v>
      </c>
      <c r="AQ24" s="32">
        <f>'Capital Results '!AR9+AP24</f>
        <v>34855100.900200084</v>
      </c>
      <c r="AR24" s="32">
        <f>'Capital Results '!AS9+AQ24</f>
        <v>34855100.900200084</v>
      </c>
      <c r="AS24" s="32">
        <f>'Capital Results '!AT9+AR24</f>
        <v>34855100.900200084</v>
      </c>
      <c r="AT24" s="32">
        <f>'Capital Results '!AU9+AS24</f>
        <v>34855100.900200084</v>
      </c>
      <c r="AU24" s="32">
        <f>'Capital Results '!AV9+AT24</f>
        <v>34855100.900200084</v>
      </c>
      <c r="AV24" s="32">
        <f>'Capital Results '!AW9+AU24</f>
        <v>34855100.900200084</v>
      </c>
      <c r="AW24" s="32">
        <f>'Capital Results '!AX9+AV24</f>
        <v>34855100.900200084</v>
      </c>
      <c r="AX24" s="32">
        <f>'Capital Results '!AY9+AW24</f>
        <v>34855100.900200084</v>
      </c>
      <c r="AY24" s="32">
        <f>'Capital Results '!AZ9+AX24</f>
        <v>34855100.900200084</v>
      </c>
      <c r="AZ24" s="32">
        <f>'Capital Results '!BA9+AY24</f>
        <v>34855100.900200084</v>
      </c>
      <c r="BA24" s="32">
        <f>'Capital Results '!BB9+AZ24</f>
        <v>34855100.900200084</v>
      </c>
      <c r="BB24" s="32">
        <f>'Capital Results '!BC9+BA24</f>
        <v>34855100.900200084</v>
      </c>
      <c r="BC24" s="32">
        <f>'Capital Results '!BD9+BB24</f>
        <v>34855100.900200084</v>
      </c>
      <c r="BD24" s="32">
        <f>'Capital Results '!BE9+BC24</f>
        <v>34855100.900200084</v>
      </c>
      <c r="BE24" s="32">
        <f>'Capital Results '!BF9+BD24</f>
        <v>34855100.900200084</v>
      </c>
      <c r="BF24" s="32">
        <f>'Capital Results '!BG9+BE24</f>
        <v>34855100.900200084</v>
      </c>
      <c r="BG24" s="32">
        <f>'Capital Results '!BH9+BF24</f>
        <v>34855100.900200084</v>
      </c>
      <c r="BH24" s="32">
        <f>'Capital Results '!BI9+BG24</f>
        <v>34855100.900200084</v>
      </c>
      <c r="BI24" s="32">
        <f>'Capital Results '!BJ9+BH24</f>
        <v>34855100.900200084</v>
      </c>
      <c r="BJ24" s="32">
        <f>'Capital Results '!BK9+BI24</f>
        <v>34855100.900200084</v>
      </c>
      <c r="BK24" s="32">
        <f>'Capital Results '!BL9+BJ24</f>
        <v>34855100.900200084</v>
      </c>
      <c r="BL24" s="32"/>
    </row>
    <row r="25" spans="1:65" ht="14.5" customHeight="1">
      <c r="A25" s="25" t="str">
        <f>'Project Assumptions'!B27</f>
        <v>Capital Expenditure 3</v>
      </c>
      <c r="B25" s="25">
        <f>'Project Assumptions'!E27</f>
        <v>2019</v>
      </c>
      <c r="C25" s="28">
        <f>'Capital Results '!D10</f>
        <v>0</v>
      </c>
      <c r="D25" s="32">
        <f>'Capital Results '!E10+C25</f>
        <v>0</v>
      </c>
      <c r="E25" s="32">
        <f>'Capital Results '!F10+D25</f>
        <v>0</v>
      </c>
      <c r="F25" s="32">
        <f>'Capital Results '!G10+E25</f>
        <v>82664052.300202608</v>
      </c>
      <c r="G25" s="32">
        <f>'Capital Results '!H10+F25</f>
        <v>82664052.300202608</v>
      </c>
      <c r="H25" s="32">
        <f>'Capital Results '!I10+G25</f>
        <v>82664052.300202608</v>
      </c>
      <c r="I25" s="32">
        <f>'Capital Results '!J10+H25</f>
        <v>82664052.300202608</v>
      </c>
      <c r="J25" s="32">
        <f>'Capital Results '!K10+I25</f>
        <v>82664052.300202608</v>
      </c>
      <c r="K25" s="32">
        <f>'Capital Results '!L10+J25</f>
        <v>82664052.300202608</v>
      </c>
      <c r="L25" s="32">
        <f>'Capital Results '!M10+K25</f>
        <v>82664052.300202608</v>
      </c>
      <c r="M25" s="32">
        <f>'Capital Results '!N10+L25</f>
        <v>82664052.300202608</v>
      </c>
      <c r="N25" s="32">
        <f>'Capital Results '!O10+M25</f>
        <v>82664052.300202608</v>
      </c>
      <c r="O25" s="32">
        <f>'Capital Results '!P10+N25</f>
        <v>82664052.300202608</v>
      </c>
      <c r="P25" s="32">
        <f>'Capital Results '!Q10+O25</f>
        <v>82664052.300202608</v>
      </c>
      <c r="Q25" s="32">
        <f>'Capital Results '!R10+P25</f>
        <v>82664052.300202608</v>
      </c>
      <c r="R25" s="32">
        <f>'Capital Results '!S10+Q25</f>
        <v>82664052.300202608</v>
      </c>
      <c r="S25" s="32">
        <f>'Capital Results '!T10+R25</f>
        <v>82664052.300202608</v>
      </c>
      <c r="T25" s="32">
        <f>'Capital Results '!U10+S25</f>
        <v>82664052.300202608</v>
      </c>
      <c r="U25" s="32">
        <f>'Capital Results '!V10+T25</f>
        <v>82664052.300202608</v>
      </c>
      <c r="V25" s="32">
        <f>'Capital Results '!W10+U25</f>
        <v>82664052.300202608</v>
      </c>
      <c r="W25" s="32">
        <f>'Capital Results '!X10+V25</f>
        <v>82664052.300202608</v>
      </c>
      <c r="X25" s="32">
        <f>'Capital Results '!Y10+W25</f>
        <v>82664052.300202608</v>
      </c>
      <c r="Y25" s="32">
        <f>'Capital Results '!Z10+X25</f>
        <v>82664052.300202608</v>
      </c>
      <c r="Z25" s="32">
        <f>'Capital Results '!AA10+Y25</f>
        <v>82664052.300202608</v>
      </c>
      <c r="AA25" s="32">
        <f>'Capital Results '!AB10+Z25</f>
        <v>82664052.300202608</v>
      </c>
      <c r="AB25" s="32">
        <f>'Capital Results '!AC10+AA25</f>
        <v>82664052.300202608</v>
      </c>
      <c r="AC25" s="32">
        <f>'Capital Results '!AD10+AB25</f>
        <v>82664052.300202608</v>
      </c>
      <c r="AD25" s="32">
        <f>'Capital Results '!AE10+AC25</f>
        <v>82664052.300202608</v>
      </c>
      <c r="AE25" s="32">
        <f>'Capital Results '!AF10+AD25</f>
        <v>82664052.300202608</v>
      </c>
      <c r="AF25" s="32">
        <f>'Capital Results '!AG10+AE25</f>
        <v>82664052.300202608</v>
      </c>
      <c r="AG25" s="32">
        <f>'Capital Results '!AH10+AF25</f>
        <v>82664052.300202608</v>
      </c>
      <c r="AH25" s="32">
        <f>'Capital Results '!AI10+AG25</f>
        <v>82664052.300202608</v>
      </c>
      <c r="AI25" s="32">
        <f>'Capital Results '!AJ10+AH25</f>
        <v>82664052.300202608</v>
      </c>
      <c r="AJ25" s="32">
        <f>'Capital Results '!AK10+AI25</f>
        <v>82664052.300202608</v>
      </c>
      <c r="AK25" s="32">
        <f>'Capital Results '!AL10+AJ25</f>
        <v>82664052.300202608</v>
      </c>
      <c r="AL25" s="32">
        <f>'Capital Results '!AM10+AK25</f>
        <v>82664052.300202608</v>
      </c>
      <c r="AM25" s="32">
        <f>'Capital Results '!AN10+AL25</f>
        <v>82664052.300202608</v>
      </c>
      <c r="AN25" s="32">
        <f>'Capital Results '!AO10+AM25</f>
        <v>82664052.300202608</v>
      </c>
      <c r="AO25" s="32">
        <f>'Capital Results '!AP10+AN25</f>
        <v>82664052.300202608</v>
      </c>
      <c r="AP25" s="32">
        <f>'Capital Results '!AQ10+AO25</f>
        <v>82664052.300202608</v>
      </c>
      <c r="AQ25" s="32">
        <f>'Capital Results '!AR10+AP25</f>
        <v>82664052.300202608</v>
      </c>
      <c r="AR25" s="32">
        <f>'Capital Results '!AS10+AQ25</f>
        <v>82664052.300202608</v>
      </c>
      <c r="AS25" s="32">
        <f>'Capital Results '!AT10+AR25</f>
        <v>82664052.300202608</v>
      </c>
      <c r="AT25" s="32">
        <f>'Capital Results '!AU10+AS25</f>
        <v>82664052.300202608</v>
      </c>
      <c r="AU25" s="32">
        <f>'Capital Results '!AV10+AT25</f>
        <v>82664052.300202608</v>
      </c>
      <c r="AV25" s="32">
        <f>'Capital Results '!AW10+AU25</f>
        <v>82664052.300202608</v>
      </c>
      <c r="AW25" s="32">
        <f>'Capital Results '!AX10+AV25</f>
        <v>82664052.300202608</v>
      </c>
      <c r="AX25" s="32">
        <f>'Capital Results '!AY10+AW25</f>
        <v>82664052.300202608</v>
      </c>
      <c r="AY25" s="32">
        <f>'Capital Results '!AZ10+AX25</f>
        <v>82664052.300202608</v>
      </c>
      <c r="AZ25" s="32">
        <f>'Capital Results '!BA10+AY25</f>
        <v>82664052.300202608</v>
      </c>
      <c r="BA25" s="32">
        <f>'Capital Results '!BB10+AZ25</f>
        <v>82664052.300202608</v>
      </c>
      <c r="BB25" s="32">
        <f>'Capital Results '!BC10+BA25</f>
        <v>82664052.300202608</v>
      </c>
      <c r="BC25" s="32">
        <f>'Capital Results '!BD10+BB25</f>
        <v>82664052.300202608</v>
      </c>
      <c r="BD25" s="32">
        <f>'Capital Results '!BE10+BC25</f>
        <v>82664052.300202608</v>
      </c>
      <c r="BE25" s="32">
        <f>'Capital Results '!BF10+BD25</f>
        <v>82664052.300202608</v>
      </c>
      <c r="BF25" s="32">
        <f>'Capital Results '!BG10+BE25</f>
        <v>82664052.300202608</v>
      </c>
      <c r="BG25" s="32">
        <f>'Capital Results '!BH10+BF25</f>
        <v>82664052.300202608</v>
      </c>
      <c r="BH25" s="32">
        <f>'Capital Results '!BI10+BG25</f>
        <v>82664052.300202608</v>
      </c>
      <c r="BI25" s="32">
        <f>'Capital Results '!BJ10+BH25</f>
        <v>82664052.300202608</v>
      </c>
      <c r="BJ25" s="32">
        <f>'Capital Results '!BK10+BI25</f>
        <v>82664052.300202608</v>
      </c>
      <c r="BK25" s="32">
        <f>'Capital Results '!BL10+BJ25</f>
        <v>82664052.300202608</v>
      </c>
      <c r="BL25" s="32"/>
    </row>
    <row r="26" spans="1:65" ht="14.5" customHeight="1">
      <c r="A26" s="25" t="str">
        <f>'Project Assumptions'!B28</f>
        <v xml:space="preserve">Capital Expenditure 4 </v>
      </c>
      <c r="B26" s="25">
        <f>'Project Assumptions'!E28</f>
        <v>2020</v>
      </c>
      <c r="C26" s="28">
        <f>'Capital Results '!D11</f>
        <v>0</v>
      </c>
      <c r="D26" s="32">
        <f>'Capital Results '!E11+C26</f>
        <v>0</v>
      </c>
      <c r="E26" s="32">
        <f>'Capital Results '!F11+D26</f>
        <v>0</v>
      </c>
      <c r="F26" s="32">
        <f>'Capital Results '!G11+E26</f>
        <v>0</v>
      </c>
      <c r="G26" s="32">
        <f>'Capital Results '!H11+F26</f>
        <v>68499340.457383499</v>
      </c>
      <c r="H26" s="32">
        <f>'Capital Results '!I11+G26</f>
        <v>68499340.457383499</v>
      </c>
      <c r="I26" s="32">
        <f>'Capital Results '!J11+H26</f>
        <v>68499340.457383499</v>
      </c>
      <c r="J26" s="32">
        <f>'Capital Results '!K11+I26</f>
        <v>68499340.457383499</v>
      </c>
      <c r="K26" s="32">
        <f>'Capital Results '!L11+J26</f>
        <v>68499340.457383499</v>
      </c>
      <c r="L26" s="32">
        <f>'Capital Results '!M11+K26</f>
        <v>68499340.457383499</v>
      </c>
      <c r="M26" s="32">
        <f>'Capital Results '!N11+L26</f>
        <v>68499340.457383499</v>
      </c>
      <c r="N26" s="32">
        <f>'Capital Results '!O11+M26</f>
        <v>68499340.457383499</v>
      </c>
      <c r="O26" s="32">
        <f>'Capital Results '!P11+N26</f>
        <v>68499340.457383499</v>
      </c>
      <c r="P26" s="32">
        <f>'Capital Results '!Q11+O26</f>
        <v>68499340.457383499</v>
      </c>
      <c r="Q26" s="32">
        <f>'Capital Results '!R11+P26</f>
        <v>68499340.457383499</v>
      </c>
      <c r="R26" s="32">
        <f>'Capital Results '!S11+Q26</f>
        <v>68499340.457383499</v>
      </c>
      <c r="S26" s="32">
        <f>'Capital Results '!T11+R26</f>
        <v>68499340.457383499</v>
      </c>
      <c r="T26" s="32">
        <f>'Capital Results '!U11+S26</f>
        <v>68499340.457383499</v>
      </c>
      <c r="U26" s="32">
        <f>'Capital Results '!V11+T26</f>
        <v>68499340.457383499</v>
      </c>
      <c r="V26" s="32">
        <f>'Capital Results '!W11+U26</f>
        <v>68499340.457383499</v>
      </c>
      <c r="W26" s="32">
        <f>'Capital Results '!X11+V26</f>
        <v>68499340.457383499</v>
      </c>
      <c r="X26" s="32">
        <f>'Capital Results '!Y11+W26</f>
        <v>68499340.457383499</v>
      </c>
      <c r="Y26" s="32">
        <f>'Capital Results '!Z11+X26</f>
        <v>68499340.457383499</v>
      </c>
      <c r="Z26" s="32">
        <f>'Capital Results '!AA11+Y26</f>
        <v>68499340.457383499</v>
      </c>
      <c r="AA26" s="32">
        <f>'Capital Results '!AB11+Z26</f>
        <v>68499340.457383499</v>
      </c>
      <c r="AB26" s="32">
        <f>'Capital Results '!AC11+AA26</f>
        <v>68499340.457383499</v>
      </c>
      <c r="AC26" s="32">
        <f>'Capital Results '!AD11+AB26</f>
        <v>68499340.457383499</v>
      </c>
      <c r="AD26" s="32">
        <f>'Capital Results '!AE11+AC26</f>
        <v>68499340.457383499</v>
      </c>
      <c r="AE26" s="32">
        <f>'Capital Results '!AF11+AD26</f>
        <v>68499340.457383499</v>
      </c>
      <c r="AF26" s="32">
        <f>'Capital Results '!AG11+AE26</f>
        <v>68499340.457383499</v>
      </c>
      <c r="AG26" s="32">
        <f>'Capital Results '!AH11+AF26</f>
        <v>68499340.457383499</v>
      </c>
      <c r="AH26" s="32">
        <f>'Capital Results '!AI11+AG26</f>
        <v>68499340.457383499</v>
      </c>
      <c r="AI26" s="32">
        <f>'Capital Results '!AJ11+AH26</f>
        <v>68499340.457383499</v>
      </c>
      <c r="AJ26" s="32">
        <f>'Capital Results '!AK11+AI26</f>
        <v>68499340.457383499</v>
      </c>
      <c r="AK26" s="32">
        <f>'Capital Results '!AL11+AJ26</f>
        <v>68499340.457383499</v>
      </c>
      <c r="AL26" s="32">
        <f>'Capital Results '!AM11+AK26</f>
        <v>68499340.457383499</v>
      </c>
      <c r="AM26" s="32">
        <f>'Capital Results '!AN11+AL26</f>
        <v>68499340.457383499</v>
      </c>
      <c r="AN26" s="32">
        <f>'Capital Results '!AO11+AM26</f>
        <v>68499340.457383499</v>
      </c>
      <c r="AO26" s="32">
        <f>'Capital Results '!AP11+AN26</f>
        <v>68499340.457383499</v>
      </c>
      <c r="AP26" s="32">
        <f>'Capital Results '!AQ11+AO26</f>
        <v>68499340.457383499</v>
      </c>
      <c r="AQ26" s="32">
        <f>'Capital Results '!AR11+AP26</f>
        <v>68499340.457383499</v>
      </c>
      <c r="AR26" s="32">
        <f>'Capital Results '!AS11+AQ26</f>
        <v>68499340.457383499</v>
      </c>
      <c r="AS26" s="32">
        <f>'Capital Results '!AT11+AR26</f>
        <v>68499340.457383499</v>
      </c>
      <c r="AT26" s="32">
        <f>'Capital Results '!AU11+AS26</f>
        <v>68499340.457383499</v>
      </c>
      <c r="AU26" s="32">
        <f>'Capital Results '!AV11+AT26</f>
        <v>68499340.457383499</v>
      </c>
      <c r="AV26" s="32">
        <f>'Capital Results '!AW11+AU26</f>
        <v>68499340.457383499</v>
      </c>
      <c r="AW26" s="32">
        <f>'Capital Results '!AX11+AV26</f>
        <v>68499340.457383499</v>
      </c>
      <c r="AX26" s="32">
        <f>'Capital Results '!AY11+AW26</f>
        <v>68499340.457383499</v>
      </c>
      <c r="AY26" s="32">
        <f>'Capital Results '!AZ11+AX26</f>
        <v>68499340.457383499</v>
      </c>
      <c r="AZ26" s="32">
        <f>'Capital Results '!BA11+AY26</f>
        <v>68499340.457383499</v>
      </c>
      <c r="BA26" s="32">
        <f>'Capital Results '!BB11+AZ26</f>
        <v>68499340.457383499</v>
      </c>
      <c r="BB26" s="32">
        <f>'Capital Results '!BC11+BA26</f>
        <v>68499340.457383499</v>
      </c>
      <c r="BC26" s="32">
        <f>'Capital Results '!BD11+BB26</f>
        <v>68499340.457383499</v>
      </c>
      <c r="BD26" s="32">
        <f>'Capital Results '!BE11+BC26</f>
        <v>68499340.457383499</v>
      </c>
      <c r="BE26" s="32">
        <f>'Capital Results '!BF11+BD26</f>
        <v>68499340.457383499</v>
      </c>
      <c r="BF26" s="32">
        <f>'Capital Results '!BG11+BE26</f>
        <v>68499340.457383499</v>
      </c>
      <c r="BG26" s="32">
        <f>'Capital Results '!BH11+BF26</f>
        <v>68499340.457383499</v>
      </c>
      <c r="BH26" s="32">
        <f>'Capital Results '!BI11+BG26</f>
        <v>68499340.457383499</v>
      </c>
      <c r="BI26" s="32">
        <f>'Capital Results '!BJ11+BH26</f>
        <v>68499340.457383499</v>
      </c>
      <c r="BJ26" s="32">
        <f>'Capital Results '!BK11+BI26</f>
        <v>68499340.457383499</v>
      </c>
      <c r="BK26" s="32">
        <f>'Capital Results '!BL11+BJ26</f>
        <v>68499340.457383499</v>
      </c>
      <c r="BL26" s="32"/>
    </row>
    <row r="27" spans="1:65" ht="14.5" customHeight="1">
      <c r="A27" s="25" t="str">
        <f>'Project Assumptions'!B29</f>
        <v xml:space="preserve">Capital Expenditure 5 </v>
      </c>
      <c r="B27" s="25">
        <f>'Project Assumptions'!E29</f>
        <v>2021</v>
      </c>
      <c r="C27" s="28">
        <f>'Capital Results '!D12</f>
        <v>0</v>
      </c>
      <c r="D27" s="32">
        <f>'Capital Results '!E12+C27</f>
        <v>0</v>
      </c>
      <c r="E27" s="32">
        <f>'Capital Results '!F12+D27</f>
        <v>0</v>
      </c>
      <c r="F27" s="32">
        <f>'Capital Results '!G12+E27</f>
        <v>0</v>
      </c>
      <c r="G27" s="32">
        <f>'Capital Results '!H12+F27</f>
        <v>0</v>
      </c>
      <c r="H27" s="32">
        <f>'Capital Results '!I12+G27</f>
        <v>70897891.830320135</v>
      </c>
      <c r="I27" s="32">
        <f>'Capital Results '!J12+H27</f>
        <v>70897891.830320135</v>
      </c>
      <c r="J27" s="32">
        <f>'Capital Results '!K12+I27</f>
        <v>70897891.830320135</v>
      </c>
      <c r="K27" s="32">
        <f>'Capital Results '!L12+J27</f>
        <v>70897891.830320135</v>
      </c>
      <c r="L27" s="32">
        <f>'Capital Results '!M12+K27</f>
        <v>70897891.830320135</v>
      </c>
      <c r="M27" s="32">
        <f>'Capital Results '!N12+L27</f>
        <v>70897891.830320135</v>
      </c>
      <c r="N27" s="32">
        <f>'Capital Results '!O12+M27</f>
        <v>70897891.830320135</v>
      </c>
      <c r="O27" s="32">
        <f>'Capital Results '!P12+N27</f>
        <v>70897891.830320135</v>
      </c>
      <c r="P27" s="32">
        <f>'Capital Results '!Q12+O27</f>
        <v>70897891.830320135</v>
      </c>
      <c r="Q27" s="32">
        <f>'Capital Results '!R12+P27</f>
        <v>70897891.830320135</v>
      </c>
      <c r="R27" s="32">
        <f>'Capital Results '!S12+Q27</f>
        <v>70897891.830320135</v>
      </c>
      <c r="S27" s="32">
        <f>'Capital Results '!T12+R27</f>
        <v>70897891.830320135</v>
      </c>
      <c r="T27" s="32">
        <f>'Capital Results '!U12+S27</f>
        <v>70897891.830320135</v>
      </c>
      <c r="U27" s="32">
        <f>'Capital Results '!V12+T27</f>
        <v>70897891.830320135</v>
      </c>
      <c r="V27" s="32">
        <f>'Capital Results '!W12+U27</f>
        <v>70897891.830320135</v>
      </c>
      <c r="W27" s="32">
        <f>'Capital Results '!X12+V27</f>
        <v>70897891.830320135</v>
      </c>
      <c r="X27" s="32">
        <f>'Capital Results '!Y12+W27</f>
        <v>70897891.830320135</v>
      </c>
      <c r="Y27" s="32">
        <f>'Capital Results '!Z12+X27</f>
        <v>70897891.830320135</v>
      </c>
      <c r="Z27" s="32">
        <f>'Capital Results '!AA12+Y27</f>
        <v>70897891.830320135</v>
      </c>
      <c r="AA27" s="32">
        <f>'Capital Results '!AB12+Z27</f>
        <v>70897891.830320135</v>
      </c>
      <c r="AB27" s="32">
        <f>'Capital Results '!AC12+AA27</f>
        <v>70897891.830320135</v>
      </c>
      <c r="AC27" s="32">
        <f>'Capital Results '!AD12+AB27</f>
        <v>70897891.830320135</v>
      </c>
      <c r="AD27" s="32">
        <f>'Capital Results '!AE12+AC27</f>
        <v>70897891.830320135</v>
      </c>
      <c r="AE27" s="32">
        <f>'Capital Results '!AF12+AD27</f>
        <v>70897891.830320135</v>
      </c>
      <c r="AF27" s="32">
        <f>'Capital Results '!AG12+AE27</f>
        <v>70897891.830320135</v>
      </c>
      <c r="AG27" s="32">
        <f>'Capital Results '!AH12+AF27</f>
        <v>70897891.830320135</v>
      </c>
      <c r="AH27" s="32">
        <f>'Capital Results '!AI12+AG27</f>
        <v>70897891.830320135</v>
      </c>
      <c r="AI27" s="32">
        <f>'Capital Results '!AJ12+AH27</f>
        <v>70897891.830320135</v>
      </c>
      <c r="AJ27" s="32">
        <f>'Capital Results '!AK12+AI27</f>
        <v>70897891.830320135</v>
      </c>
      <c r="AK27" s="32">
        <f>'Capital Results '!AL12+AJ27</f>
        <v>70897891.830320135</v>
      </c>
      <c r="AL27" s="32">
        <f>'Capital Results '!AM12+AK27</f>
        <v>70897891.830320135</v>
      </c>
      <c r="AM27" s="32">
        <f>'Capital Results '!AN12+AL27</f>
        <v>70897891.830320135</v>
      </c>
      <c r="AN27" s="32">
        <f>'Capital Results '!AO12+AM27</f>
        <v>70897891.830320135</v>
      </c>
      <c r="AO27" s="32">
        <f>'Capital Results '!AP12+AN27</f>
        <v>70897891.830320135</v>
      </c>
      <c r="AP27" s="32">
        <f>'Capital Results '!AQ12+AO27</f>
        <v>70897891.830320135</v>
      </c>
      <c r="AQ27" s="32">
        <f>'Capital Results '!AR12+AP27</f>
        <v>70897891.830320135</v>
      </c>
      <c r="AR27" s="32">
        <f>'Capital Results '!AS12+AQ27</f>
        <v>70897891.830320135</v>
      </c>
      <c r="AS27" s="32">
        <f>'Capital Results '!AT12+AR27</f>
        <v>70897891.830320135</v>
      </c>
      <c r="AT27" s="32">
        <f>'Capital Results '!AU12+AS27</f>
        <v>70897891.830320135</v>
      </c>
      <c r="AU27" s="32">
        <f>'Capital Results '!AV12+AT27</f>
        <v>70897891.830320135</v>
      </c>
      <c r="AV27" s="32">
        <f>'Capital Results '!AW12+AU27</f>
        <v>70897891.830320135</v>
      </c>
      <c r="AW27" s="32">
        <f>'Capital Results '!AX12+AV27</f>
        <v>70897891.830320135</v>
      </c>
      <c r="AX27" s="32">
        <f>'Capital Results '!AY12+AW27</f>
        <v>70897891.830320135</v>
      </c>
      <c r="AY27" s="32">
        <f>'Capital Results '!AZ12+AX27</f>
        <v>70897891.830320135</v>
      </c>
      <c r="AZ27" s="32">
        <f>'Capital Results '!BA12+AY27</f>
        <v>70897891.830320135</v>
      </c>
      <c r="BA27" s="32">
        <f>'Capital Results '!BB12+AZ27</f>
        <v>70897891.830320135</v>
      </c>
      <c r="BB27" s="32">
        <f>'Capital Results '!BC12+BA27</f>
        <v>70897891.830320135</v>
      </c>
      <c r="BC27" s="32">
        <f>'Capital Results '!BD12+BB27</f>
        <v>70897891.830320135</v>
      </c>
      <c r="BD27" s="32">
        <f>'Capital Results '!BE12+BC27</f>
        <v>70897891.830320135</v>
      </c>
      <c r="BE27" s="32">
        <f>'Capital Results '!BF12+BD27</f>
        <v>70897891.830320135</v>
      </c>
      <c r="BF27" s="32">
        <f>'Capital Results '!BG12+BE27</f>
        <v>70897891.830320135</v>
      </c>
      <c r="BG27" s="32">
        <f>'Capital Results '!BH12+BF27</f>
        <v>70897891.830320135</v>
      </c>
      <c r="BH27" s="32">
        <f>'Capital Results '!BI12+BG27</f>
        <v>70897891.830320135</v>
      </c>
      <c r="BI27" s="32">
        <f>'Capital Results '!BJ12+BH27</f>
        <v>70897891.830320135</v>
      </c>
      <c r="BJ27" s="32">
        <f>'Capital Results '!BK12+BI27</f>
        <v>70897891.830320135</v>
      </c>
      <c r="BK27" s="32">
        <f>'Capital Results '!BL12+BJ27</f>
        <v>70897891.830320135</v>
      </c>
      <c r="BL27" s="32"/>
    </row>
    <row r="28" spans="1:65" ht="14.5" customHeight="1">
      <c r="A28" s="25" t="str">
        <f>'Project Assumptions'!B30</f>
        <v xml:space="preserve">Capital Expenditure 6 </v>
      </c>
      <c r="B28" s="25">
        <f>'Project Assumptions'!E30</f>
        <v>2022</v>
      </c>
      <c r="C28" s="28">
        <f>'Capital Results '!D13</f>
        <v>0</v>
      </c>
      <c r="D28" s="32">
        <f>'Capital Results '!E13+C28</f>
        <v>0</v>
      </c>
      <c r="E28" s="32">
        <f>'Capital Results '!F13+D28</f>
        <v>0</v>
      </c>
      <c r="F28" s="32">
        <f>'Capital Results '!G13+E28</f>
        <v>0</v>
      </c>
      <c r="G28" s="32">
        <f>'Capital Results '!H13+F28</f>
        <v>0</v>
      </c>
      <c r="H28" s="32">
        <f>'Capital Results '!I13+G28</f>
        <v>0</v>
      </c>
      <c r="I28" s="32">
        <f>'Capital Results '!J13+H28</f>
        <v>73024828.58522974</v>
      </c>
      <c r="J28" s="32">
        <f>'Capital Results '!K13+I28</f>
        <v>73024828.58522974</v>
      </c>
      <c r="K28" s="32">
        <f>'Capital Results '!L13+J28</f>
        <v>73024828.58522974</v>
      </c>
      <c r="L28" s="32">
        <f>'Capital Results '!M13+K28</f>
        <v>73024828.58522974</v>
      </c>
      <c r="M28" s="32">
        <f>'Capital Results '!N13+L28</f>
        <v>73024828.58522974</v>
      </c>
      <c r="N28" s="32">
        <f>'Capital Results '!O13+M28</f>
        <v>73024828.58522974</v>
      </c>
      <c r="O28" s="32">
        <f>'Capital Results '!P13+N28</f>
        <v>73024828.58522974</v>
      </c>
      <c r="P28" s="32">
        <f>'Capital Results '!Q13+O28</f>
        <v>73024828.58522974</v>
      </c>
      <c r="Q28" s="32">
        <f>'Capital Results '!R13+P28</f>
        <v>73024828.58522974</v>
      </c>
      <c r="R28" s="32">
        <f>'Capital Results '!S13+Q28</f>
        <v>73024828.58522974</v>
      </c>
      <c r="S28" s="32">
        <f>'Capital Results '!T13+R28</f>
        <v>73024828.58522974</v>
      </c>
      <c r="T28" s="32">
        <f>'Capital Results '!U13+S28</f>
        <v>73024828.58522974</v>
      </c>
      <c r="U28" s="32">
        <f>'Capital Results '!V13+T28</f>
        <v>73024828.58522974</v>
      </c>
      <c r="V28" s="32">
        <f>'Capital Results '!W13+U28</f>
        <v>73024828.58522974</v>
      </c>
      <c r="W28" s="32">
        <f>'Capital Results '!X13+V28</f>
        <v>73024828.58522974</v>
      </c>
      <c r="X28" s="32">
        <f>'Capital Results '!Y13+W28</f>
        <v>73024828.58522974</v>
      </c>
      <c r="Y28" s="32">
        <f>'Capital Results '!Z13+X28</f>
        <v>73024828.58522974</v>
      </c>
      <c r="Z28" s="32">
        <f>'Capital Results '!AA13+Y28</f>
        <v>73024828.58522974</v>
      </c>
      <c r="AA28" s="32">
        <f>'Capital Results '!AB13+Z28</f>
        <v>73024828.58522974</v>
      </c>
      <c r="AB28" s="32">
        <f>'Capital Results '!AC13+AA28</f>
        <v>73024828.58522974</v>
      </c>
      <c r="AC28" s="32">
        <f>'Capital Results '!AD13+AB28</f>
        <v>73024828.58522974</v>
      </c>
      <c r="AD28" s="32">
        <f>'Capital Results '!AE13+AC28</f>
        <v>73024828.58522974</v>
      </c>
      <c r="AE28" s="32">
        <f>'Capital Results '!AF13+AD28</f>
        <v>73024828.58522974</v>
      </c>
      <c r="AF28" s="32">
        <f>'Capital Results '!AG13+AE28</f>
        <v>73024828.58522974</v>
      </c>
      <c r="AG28" s="32">
        <f>'Capital Results '!AH13+AF28</f>
        <v>73024828.58522974</v>
      </c>
      <c r="AH28" s="32">
        <f>'Capital Results '!AI13+AG28</f>
        <v>73024828.58522974</v>
      </c>
      <c r="AI28" s="32">
        <f>'Capital Results '!AJ13+AH28</f>
        <v>73024828.58522974</v>
      </c>
      <c r="AJ28" s="32">
        <f>'Capital Results '!AK13+AI28</f>
        <v>73024828.58522974</v>
      </c>
      <c r="AK28" s="32">
        <f>'Capital Results '!AL13+AJ28</f>
        <v>73024828.58522974</v>
      </c>
      <c r="AL28" s="32">
        <f>'Capital Results '!AM13+AK28</f>
        <v>73024828.58522974</v>
      </c>
      <c r="AM28" s="32">
        <f>'Capital Results '!AN13+AL28</f>
        <v>73024828.58522974</v>
      </c>
      <c r="AN28" s="32">
        <f>'Capital Results '!AO13+AM28</f>
        <v>73024828.58522974</v>
      </c>
      <c r="AO28" s="32">
        <f>'Capital Results '!AP13+AN28</f>
        <v>73024828.58522974</v>
      </c>
      <c r="AP28" s="32">
        <f>'Capital Results '!AQ13+AO28</f>
        <v>73024828.58522974</v>
      </c>
      <c r="AQ28" s="32">
        <f>'Capital Results '!AR13+AP28</f>
        <v>73024828.58522974</v>
      </c>
      <c r="AR28" s="32">
        <f>'Capital Results '!AS13+AQ28</f>
        <v>73024828.58522974</v>
      </c>
      <c r="AS28" s="32">
        <f>'Capital Results '!AT13+AR28</f>
        <v>73024828.58522974</v>
      </c>
      <c r="AT28" s="32">
        <f>'Capital Results '!AU13+AS28</f>
        <v>73024828.58522974</v>
      </c>
      <c r="AU28" s="32">
        <f>'Capital Results '!AV13+AT28</f>
        <v>73024828.58522974</v>
      </c>
      <c r="AV28" s="32">
        <f>'Capital Results '!AW13+AU28</f>
        <v>73024828.58522974</v>
      </c>
      <c r="AW28" s="32">
        <f>'Capital Results '!AX13+AV28</f>
        <v>73024828.58522974</v>
      </c>
      <c r="AX28" s="32">
        <f>'Capital Results '!AY13+AW28</f>
        <v>73024828.58522974</v>
      </c>
      <c r="AY28" s="32">
        <f>'Capital Results '!AZ13+AX28</f>
        <v>73024828.58522974</v>
      </c>
      <c r="AZ28" s="32">
        <f>'Capital Results '!BA13+AY28</f>
        <v>73024828.58522974</v>
      </c>
      <c r="BA28" s="32">
        <f>'Capital Results '!BB13+AZ28</f>
        <v>73024828.58522974</v>
      </c>
      <c r="BB28" s="32">
        <f>'Capital Results '!BC13+BA28</f>
        <v>73024828.58522974</v>
      </c>
      <c r="BC28" s="32">
        <f>'Capital Results '!BD13+BB28</f>
        <v>73024828.58522974</v>
      </c>
      <c r="BD28" s="32">
        <f>'Capital Results '!BE13+BC28</f>
        <v>73024828.58522974</v>
      </c>
      <c r="BE28" s="32">
        <f>'Capital Results '!BF13+BD28</f>
        <v>73024828.58522974</v>
      </c>
      <c r="BF28" s="32">
        <f>'Capital Results '!BG13+BE28</f>
        <v>73024828.58522974</v>
      </c>
      <c r="BG28" s="32">
        <f>'Capital Results '!BH13+BF28</f>
        <v>73024828.58522974</v>
      </c>
      <c r="BH28" s="32">
        <f>'Capital Results '!BI13+BG28</f>
        <v>73024828.58522974</v>
      </c>
      <c r="BI28" s="32">
        <f>'Capital Results '!BJ13+BH28</f>
        <v>73024828.58522974</v>
      </c>
      <c r="BJ28" s="32">
        <f>'Capital Results '!BK13+BI28</f>
        <v>73024828.58522974</v>
      </c>
      <c r="BK28" s="32">
        <f>'Capital Results '!BL13+BJ28</f>
        <v>73024828.58522974</v>
      </c>
      <c r="BL28" s="32"/>
    </row>
    <row r="29" spans="1:65" ht="14.5" customHeight="1">
      <c r="A29" s="25" t="str">
        <f>'Project Assumptions'!B31</f>
        <v>Capital Expenditure 7</v>
      </c>
      <c r="B29" s="25">
        <f>'Project Assumptions'!E31</f>
        <v>2023</v>
      </c>
      <c r="C29" s="28">
        <f>'Capital Results '!D14</f>
        <v>0</v>
      </c>
      <c r="D29" s="32">
        <f>'Capital Results '!E14+C29</f>
        <v>0</v>
      </c>
      <c r="E29" s="32">
        <f>'Capital Results '!F14+D29</f>
        <v>0</v>
      </c>
      <c r="F29" s="32">
        <f>'Capital Results '!G14+E29</f>
        <v>0</v>
      </c>
      <c r="G29" s="32">
        <f>'Capital Results '!H14+F29</f>
        <v>0</v>
      </c>
      <c r="H29" s="32">
        <f>'Capital Results '!I14+G29</f>
        <v>0</v>
      </c>
      <c r="I29" s="32">
        <f>'Capital Results '!J14+H29</f>
        <v>0</v>
      </c>
      <c r="J29" s="32">
        <f>'Capital Results '!K14+I29</f>
        <v>75215573.442786634</v>
      </c>
      <c r="K29" s="32">
        <f>'Capital Results '!L14+J29</f>
        <v>75215573.442786634</v>
      </c>
      <c r="L29" s="32">
        <f>'Capital Results '!M14+K29</f>
        <v>75215573.442786634</v>
      </c>
      <c r="M29" s="32">
        <f>'Capital Results '!N14+L29</f>
        <v>75215573.442786634</v>
      </c>
      <c r="N29" s="32">
        <f>'Capital Results '!O14+M29</f>
        <v>75215573.442786634</v>
      </c>
      <c r="O29" s="32">
        <f>'Capital Results '!P14+N29</f>
        <v>75215573.442786634</v>
      </c>
      <c r="P29" s="32">
        <f>'Capital Results '!Q14+O29</f>
        <v>75215573.442786634</v>
      </c>
      <c r="Q29" s="32">
        <f>'Capital Results '!R14+P29</f>
        <v>75215573.442786634</v>
      </c>
      <c r="R29" s="32">
        <f>'Capital Results '!S14+Q29</f>
        <v>75215573.442786634</v>
      </c>
      <c r="S29" s="32">
        <f>'Capital Results '!T14+R29</f>
        <v>75215573.442786634</v>
      </c>
      <c r="T29" s="32">
        <f>'Capital Results '!U14+S29</f>
        <v>75215573.442786634</v>
      </c>
      <c r="U29" s="32">
        <f>'Capital Results '!V14+T29</f>
        <v>75215573.442786634</v>
      </c>
      <c r="V29" s="32">
        <f>'Capital Results '!W14+U29</f>
        <v>75215573.442786634</v>
      </c>
      <c r="W29" s="32">
        <f>'Capital Results '!X14+V29</f>
        <v>75215573.442786634</v>
      </c>
      <c r="X29" s="32">
        <f>'Capital Results '!Y14+W29</f>
        <v>75215573.442786634</v>
      </c>
      <c r="Y29" s="32">
        <f>'Capital Results '!Z14+X29</f>
        <v>75215573.442786634</v>
      </c>
      <c r="Z29" s="32">
        <f>'Capital Results '!AA14+Y29</f>
        <v>75215573.442786634</v>
      </c>
      <c r="AA29" s="32">
        <f>'Capital Results '!AB14+Z29</f>
        <v>75215573.442786634</v>
      </c>
      <c r="AB29" s="32">
        <f>'Capital Results '!AC14+AA29</f>
        <v>75215573.442786634</v>
      </c>
      <c r="AC29" s="32">
        <f>'Capital Results '!AD14+AB29</f>
        <v>75215573.442786634</v>
      </c>
      <c r="AD29" s="32">
        <f>'Capital Results '!AE14+AC29</f>
        <v>75215573.442786634</v>
      </c>
      <c r="AE29" s="32">
        <f>'Capital Results '!AF14+AD29</f>
        <v>75215573.442786634</v>
      </c>
      <c r="AF29" s="32">
        <f>'Capital Results '!AG14+AE29</f>
        <v>75215573.442786634</v>
      </c>
      <c r="AG29" s="32">
        <f>'Capital Results '!AH14+AF29</f>
        <v>75215573.442786634</v>
      </c>
      <c r="AH29" s="32">
        <f>'Capital Results '!AI14+AG29</f>
        <v>75215573.442786634</v>
      </c>
      <c r="AI29" s="32">
        <f>'Capital Results '!AJ14+AH29</f>
        <v>75215573.442786634</v>
      </c>
      <c r="AJ29" s="32">
        <f>'Capital Results '!AK14+AI29</f>
        <v>75215573.442786634</v>
      </c>
      <c r="AK29" s="32">
        <f>'Capital Results '!AL14+AJ29</f>
        <v>75215573.442786634</v>
      </c>
      <c r="AL29" s="32">
        <f>'Capital Results '!AM14+AK29</f>
        <v>75215573.442786634</v>
      </c>
      <c r="AM29" s="32">
        <f>'Capital Results '!AN14+AL29</f>
        <v>75215573.442786634</v>
      </c>
      <c r="AN29" s="32">
        <f>'Capital Results '!AO14+AM29</f>
        <v>75215573.442786634</v>
      </c>
      <c r="AO29" s="32">
        <f>'Capital Results '!AP14+AN29</f>
        <v>75215573.442786634</v>
      </c>
      <c r="AP29" s="32">
        <f>'Capital Results '!AQ14+AO29</f>
        <v>75215573.442786634</v>
      </c>
      <c r="AQ29" s="32">
        <f>'Capital Results '!AR14+AP29</f>
        <v>75215573.442786634</v>
      </c>
      <c r="AR29" s="32">
        <f>'Capital Results '!AS14+AQ29</f>
        <v>75215573.442786634</v>
      </c>
      <c r="AS29" s="32">
        <f>'Capital Results '!AT14+AR29</f>
        <v>75215573.442786634</v>
      </c>
      <c r="AT29" s="32">
        <f>'Capital Results '!AU14+AS29</f>
        <v>75215573.442786634</v>
      </c>
      <c r="AU29" s="32">
        <f>'Capital Results '!AV14+AT29</f>
        <v>75215573.442786634</v>
      </c>
      <c r="AV29" s="32">
        <f>'Capital Results '!AW14+AU29</f>
        <v>75215573.442786634</v>
      </c>
      <c r="AW29" s="32">
        <f>'Capital Results '!AX14+AV29</f>
        <v>75215573.442786634</v>
      </c>
      <c r="AX29" s="32">
        <f>'Capital Results '!AY14+AW29</f>
        <v>75215573.442786634</v>
      </c>
      <c r="AY29" s="32">
        <f>'Capital Results '!AZ14+AX29</f>
        <v>75215573.442786634</v>
      </c>
      <c r="AZ29" s="32">
        <f>'Capital Results '!BA14+AY29</f>
        <v>75215573.442786634</v>
      </c>
      <c r="BA29" s="32">
        <f>'Capital Results '!BB14+AZ29</f>
        <v>75215573.442786634</v>
      </c>
      <c r="BB29" s="32">
        <f>'Capital Results '!BC14+BA29</f>
        <v>75215573.442786634</v>
      </c>
      <c r="BC29" s="32">
        <f>'Capital Results '!BD14+BB29</f>
        <v>75215573.442786634</v>
      </c>
      <c r="BD29" s="32">
        <f>'Capital Results '!BE14+BC29</f>
        <v>75215573.442786634</v>
      </c>
      <c r="BE29" s="32">
        <f>'Capital Results '!BF14+BD29</f>
        <v>75215573.442786634</v>
      </c>
      <c r="BF29" s="32">
        <f>'Capital Results '!BG14+BE29</f>
        <v>75215573.442786634</v>
      </c>
      <c r="BG29" s="32">
        <f>'Capital Results '!BH14+BF29</f>
        <v>75215573.442786634</v>
      </c>
      <c r="BH29" s="32">
        <f>'Capital Results '!BI14+BG29</f>
        <v>75215573.442786634</v>
      </c>
      <c r="BI29" s="32">
        <f>'Capital Results '!BJ14+BH29</f>
        <v>75215573.442786634</v>
      </c>
      <c r="BJ29" s="32">
        <f>'Capital Results '!BK14+BI29</f>
        <v>75215573.442786634</v>
      </c>
      <c r="BK29" s="32">
        <f>'Capital Results '!BL14+BJ29</f>
        <v>75215573.442786634</v>
      </c>
      <c r="BL29" s="32"/>
    </row>
    <row r="30" spans="1:65" ht="14.5" customHeight="1">
      <c r="A30" s="25" t="str">
        <f>'Project Assumptions'!B32</f>
        <v>Capital Expenditure 8</v>
      </c>
      <c r="B30" s="25">
        <f>'Project Assumptions'!E32</f>
        <v>2024</v>
      </c>
      <c r="C30" s="28">
        <f>'Capital Results '!D15</f>
        <v>0</v>
      </c>
      <c r="D30" s="32">
        <f>'Capital Results '!E15+C30</f>
        <v>0</v>
      </c>
      <c r="E30" s="32">
        <f>'Capital Results '!F15+D30</f>
        <v>0</v>
      </c>
      <c r="F30" s="32">
        <f>'Capital Results '!G15+E30</f>
        <v>0</v>
      </c>
      <c r="G30" s="32">
        <f>'Capital Results '!H15+F30</f>
        <v>0</v>
      </c>
      <c r="H30" s="32">
        <f>'Capital Results '!I15+G30</f>
        <v>0</v>
      </c>
      <c r="I30" s="32">
        <f>'Capital Results '!J15+H30</f>
        <v>0</v>
      </c>
      <c r="J30" s="32">
        <f>'Capital Results '!K15+I30</f>
        <v>0</v>
      </c>
      <c r="K30" s="32">
        <f>'Capital Results '!L15+J30</f>
        <v>64985850.289360598</v>
      </c>
      <c r="L30" s="32">
        <f>'Capital Results '!M15+K30</f>
        <v>64985850.289360598</v>
      </c>
      <c r="M30" s="32">
        <f>'Capital Results '!N15+L30</f>
        <v>64985850.289360598</v>
      </c>
      <c r="N30" s="32">
        <f>'Capital Results '!O15+M30</f>
        <v>64985850.289360598</v>
      </c>
      <c r="O30" s="32">
        <f>'Capital Results '!P15+N30</f>
        <v>64985850.289360598</v>
      </c>
      <c r="P30" s="32">
        <f>'Capital Results '!Q15+O30</f>
        <v>64985850.289360598</v>
      </c>
      <c r="Q30" s="32">
        <f>'Capital Results '!R15+P30</f>
        <v>64985850.289360598</v>
      </c>
      <c r="R30" s="32">
        <f>'Capital Results '!S15+Q30</f>
        <v>64985850.289360598</v>
      </c>
      <c r="S30" s="32">
        <f>'Capital Results '!T15+R30</f>
        <v>64985850.289360598</v>
      </c>
      <c r="T30" s="32">
        <f>'Capital Results '!U15+S30</f>
        <v>64985850.289360598</v>
      </c>
      <c r="U30" s="32">
        <f>'Capital Results '!V15+T30</f>
        <v>64985850.289360598</v>
      </c>
      <c r="V30" s="32">
        <f>'Capital Results '!W15+U30</f>
        <v>64985850.289360598</v>
      </c>
      <c r="W30" s="32">
        <f>'Capital Results '!X15+V30</f>
        <v>64985850.289360598</v>
      </c>
      <c r="X30" s="32">
        <f>'Capital Results '!Y15+W30</f>
        <v>64985850.289360598</v>
      </c>
      <c r="Y30" s="32">
        <f>'Capital Results '!Z15+X30</f>
        <v>64985850.289360598</v>
      </c>
      <c r="Z30" s="32">
        <f>'Capital Results '!AA15+Y30</f>
        <v>64985850.289360598</v>
      </c>
      <c r="AA30" s="32">
        <f>'Capital Results '!AB15+Z30</f>
        <v>64985850.289360598</v>
      </c>
      <c r="AB30" s="32">
        <f>'Capital Results '!AC15+AA30</f>
        <v>64985850.289360598</v>
      </c>
      <c r="AC30" s="32">
        <f>'Capital Results '!AD15+AB30</f>
        <v>64985850.289360598</v>
      </c>
      <c r="AD30" s="32">
        <f>'Capital Results '!AE15+AC30</f>
        <v>64985850.289360598</v>
      </c>
      <c r="AE30" s="32">
        <f>'Capital Results '!AF15+AD30</f>
        <v>64985850.289360598</v>
      </c>
      <c r="AF30" s="32">
        <f>'Capital Results '!AG15+AE30</f>
        <v>64985850.289360598</v>
      </c>
      <c r="AG30" s="32">
        <f>'Capital Results '!AH15+AF30</f>
        <v>64985850.289360598</v>
      </c>
      <c r="AH30" s="32">
        <f>'Capital Results '!AI15+AG30</f>
        <v>64985850.289360598</v>
      </c>
      <c r="AI30" s="32">
        <f>'Capital Results '!AJ15+AH30</f>
        <v>64985850.289360598</v>
      </c>
      <c r="AJ30" s="32">
        <f>'Capital Results '!AK15+AI30</f>
        <v>64985850.289360598</v>
      </c>
      <c r="AK30" s="32">
        <f>'Capital Results '!AL15+AJ30</f>
        <v>64985850.289360598</v>
      </c>
      <c r="AL30" s="32">
        <f>'Capital Results '!AM15+AK30</f>
        <v>64985850.289360598</v>
      </c>
      <c r="AM30" s="32">
        <f>'Capital Results '!AN15+AL30</f>
        <v>64985850.289360598</v>
      </c>
      <c r="AN30" s="32">
        <f>'Capital Results '!AO15+AM30</f>
        <v>64985850.289360598</v>
      </c>
      <c r="AO30" s="32">
        <f>'Capital Results '!AP15+AN30</f>
        <v>64985850.289360598</v>
      </c>
      <c r="AP30" s="32">
        <f>'Capital Results '!AQ15+AO30</f>
        <v>64985850.289360598</v>
      </c>
      <c r="AQ30" s="32">
        <f>'Capital Results '!AR15+AP30</f>
        <v>64985850.289360598</v>
      </c>
      <c r="AR30" s="32">
        <f>'Capital Results '!AS15+AQ30</f>
        <v>64985850.289360598</v>
      </c>
      <c r="AS30" s="32">
        <f>'Capital Results '!AT15+AR30</f>
        <v>64985850.289360598</v>
      </c>
      <c r="AT30" s="32">
        <f>'Capital Results '!AU15+AS30</f>
        <v>64985850.289360598</v>
      </c>
      <c r="AU30" s="32">
        <f>'Capital Results '!AV15+AT30</f>
        <v>64985850.289360598</v>
      </c>
      <c r="AV30" s="32">
        <f>'Capital Results '!AW15+AU30</f>
        <v>64985850.289360598</v>
      </c>
      <c r="AW30" s="32">
        <f>'Capital Results '!AX15+AV30</f>
        <v>64985850.289360598</v>
      </c>
      <c r="AX30" s="32">
        <f>'Capital Results '!AY15+AW30</f>
        <v>64985850.289360598</v>
      </c>
      <c r="AY30" s="32">
        <f>'Capital Results '!AZ15+AX30</f>
        <v>64985850.289360598</v>
      </c>
      <c r="AZ30" s="32">
        <f>'Capital Results '!BA15+AY30</f>
        <v>64985850.289360598</v>
      </c>
      <c r="BA30" s="32">
        <f>'Capital Results '!BB15+AZ30</f>
        <v>64985850.289360598</v>
      </c>
      <c r="BB30" s="32">
        <f>'Capital Results '!BC15+BA30</f>
        <v>64985850.289360598</v>
      </c>
      <c r="BC30" s="32">
        <f>'Capital Results '!BD15+BB30</f>
        <v>64985850.289360598</v>
      </c>
      <c r="BD30" s="32">
        <f>'Capital Results '!BE15+BC30</f>
        <v>64985850.289360598</v>
      </c>
      <c r="BE30" s="32">
        <f>'Capital Results '!BF15+BD30</f>
        <v>64985850.289360598</v>
      </c>
      <c r="BF30" s="32">
        <f>'Capital Results '!BG15+BE30</f>
        <v>64985850.289360598</v>
      </c>
      <c r="BG30" s="32">
        <f>'Capital Results '!BH15+BF30</f>
        <v>64985850.289360598</v>
      </c>
      <c r="BH30" s="32">
        <f>'Capital Results '!BI15+BG30</f>
        <v>64985850.289360598</v>
      </c>
      <c r="BI30" s="32">
        <f>'Capital Results '!BJ15+BH30</f>
        <v>64985850.289360598</v>
      </c>
      <c r="BJ30" s="32">
        <f>'Capital Results '!BK15+BI30</f>
        <v>64985850.289360598</v>
      </c>
      <c r="BK30" s="32">
        <f>'Capital Results '!BL15+BJ30</f>
        <v>64985850.289360598</v>
      </c>
      <c r="BL30" s="32"/>
    </row>
    <row r="31" spans="1:65" ht="14.5" customHeight="1">
      <c r="A31" s="25" t="str">
        <f>'Project Assumptions'!B33</f>
        <v>Capital Expenditure 9</v>
      </c>
      <c r="B31" s="25">
        <f>'Project Assumptions'!E33</f>
        <v>2025</v>
      </c>
      <c r="C31" s="28">
        <f>'Capital Results '!D16</f>
        <v>0</v>
      </c>
      <c r="D31" s="32">
        <f>'Capital Results '!E16+C31</f>
        <v>0</v>
      </c>
      <c r="E31" s="32">
        <f>'Capital Results '!F16+D31</f>
        <v>0</v>
      </c>
      <c r="F31" s="32">
        <f>'Capital Results '!G16+E31</f>
        <v>0</v>
      </c>
      <c r="G31" s="32">
        <f>'Capital Results '!H16+F31</f>
        <v>0</v>
      </c>
      <c r="H31" s="32">
        <f>'Capital Results '!I16+G31</f>
        <v>0</v>
      </c>
      <c r="I31" s="32">
        <f>'Capital Results '!J16+H31</f>
        <v>0</v>
      </c>
      <c r="J31" s="32">
        <f>'Capital Results '!K16+I31</f>
        <v>0</v>
      </c>
      <c r="K31" s="32">
        <f>'Capital Results '!L16+J31</f>
        <v>0</v>
      </c>
      <c r="L31" s="32">
        <f>'Capital Results '!M16+K31</f>
        <v>634380.29553869402</v>
      </c>
      <c r="M31" s="32">
        <f>'Capital Results '!N16+L31</f>
        <v>634380.29553869402</v>
      </c>
      <c r="N31" s="32">
        <f>'Capital Results '!O16+M31</f>
        <v>634380.29553869402</v>
      </c>
      <c r="O31" s="32">
        <f>'Capital Results '!P16+N31</f>
        <v>634380.29553869402</v>
      </c>
      <c r="P31" s="32">
        <f>'Capital Results '!Q16+O31</f>
        <v>634380.29553869402</v>
      </c>
      <c r="Q31" s="32">
        <f>'Capital Results '!R16+P31</f>
        <v>634380.29553869402</v>
      </c>
      <c r="R31" s="32">
        <f>'Capital Results '!S16+Q31</f>
        <v>634380.29553869402</v>
      </c>
      <c r="S31" s="32">
        <f>'Capital Results '!T16+R31</f>
        <v>634380.29553869402</v>
      </c>
      <c r="T31" s="32">
        <f>'Capital Results '!U16+S31</f>
        <v>634380.29553869402</v>
      </c>
      <c r="U31" s="32">
        <f>'Capital Results '!V16+T31</f>
        <v>634380.29553869402</v>
      </c>
      <c r="V31" s="32">
        <f>'Capital Results '!W16+U31</f>
        <v>634380.29553869402</v>
      </c>
      <c r="W31" s="32">
        <f>'Capital Results '!X16+V31</f>
        <v>634380.29553869402</v>
      </c>
      <c r="X31" s="32">
        <f>'Capital Results '!Y16+W31</f>
        <v>634380.29553869402</v>
      </c>
      <c r="Y31" s="32">
        <f>'Capital Results '!Z16+X31</f>
        <v>634380.29553869402</v>
      </c>
      <c r="Z31" s="32">
        <f>'Capital Results '!AA16+Y31</f>
        <v>634380.29553869402</v>
      </c>
      <c r="AA31" s="32">
        <f>'Capital Results '!AB16+Z31</f>
        <v>634380.29553869402</v>
      </c>
      <c r="AB31" s="32">
        <f>'Capital Results '!AC16+AA31</f>
        <v>634380.29553869402</v>
      </c>
      <c r="AC31" s="32">
        <f>'Capital Results '!AD16+AB31</f>
        <v>634380.29553869402</v>
      </c>
      <c r="AD31" s="32">
        <f>'Capital Results '!AE16+AC31</f>
        <v>634380.29553869402</v>
      </c>
      <c r="AE31" s="32">
        <f>'Capital Results '!AF16+AD31</f>
        <v>634380.29553869402</v>
      </c>
      <c r="AF31" s="32">
        <f>'Capital Results '!AG16+AE31</f>
        <v>634380.29553869402</v>
      </c>
      <c r="AG31" s="32">
        <f>'Capital Results '!AH16+AF31</f>
        <v>634380.29553869402</v>
      </c>
      <c r="AH31" s="32">
        <f>'Capital Results '!AI16+AG31</f>
        <v>634380.29553869402</v>
      </c>
      <c r="AI31" s="32">
        <f>'Capital Results '!AJ16+AH31</f>
        <v>634380.29553869402</v>
      </c>
      <c r="AJ31" s="32">
        <f>'Capital Results '!AK16+AI31</f>
        <v>634380.29553869402</v>
      </c>
      <c r="AK31" s="32">
        <f>'Capital Results '!AL16+AJ31</f>
        <v>634380.29553869402</v>
      </c>
      <c r="AL31" s="32">
        <f>'Capital Results '!AM16+AK31</f>
        <v>634380.29553869402</v>
      </c>
      <c r="AM31" s="32">
        <f>'Capital Results '!AN16+AL31</f>
        <v>634380.29553869402</v>
      </c>
      <c r="AN31" s="32">
        <f>'Capital Results '!AO16+AM31</f>
        <v>634380.29553869402</v>
      </c>
      <c r="AO31" s="32">
        <f>'Capital Results '!AP16+AN31</f>
        <v>634380.29553869402</v>
      </c>
      <c r="AP31" s="32">
        <f>'Capital Results '!AQ16+AO31</f>
        <v>634380.29553869402</v>
      </c>
      <c r="AQ31" s="32">
        <f>'Capital Results '!AR16+AP31</f>
        <v>634380.29553869402</v>
      </c>
      <c r="AR31" s="32">
        <f>'Capital Results '!AS16+AQ31</f>
        <v>634380.29553869402</v>
      </c>
      <c r="AS31" s="32">
        <f>'Capital Results '!AT16+AR31</f>
        <v>634380.29553869402</v>
      </c>
      <c r="AT31" s="32">
        <f>'Capital Results '!AU16+AS31</f>
        <v>634380.29553869402</v>
      </c>
      <c r="AU31" s="32">
        <f>'Capital Results '!AV16+AT31</f>
        <v>634380.29553869402</v>
      </c>
      <c r="AV31" s="32">
        <f>'Capital Results '!AW16+AU31</f>
        <v>634380.29553869402</v>
      </c>
      <c r="AW31" s="32">
        <f>'Capital Results '!AX16+AV31</f>
        <v>634380.29553869402</v>
      </c>
      <c r="AX31" s="32">
        <f>'Capital Results '!AY16+AW31</f>
        <v>634380.29553869402</v>
      </c>
      <c r="AY31" s="32">
        <f>'Capital Results '!AZ16+AX31</f>
        <v>634380.29553869402</v>
      </c>
      <c r="AZ31" s="32">
        <f>'Capital Results '!BA16+AY31</f>
        <v>634380.29553869402</v>
      </c>
      <c r="BA31" s="32">
        <f>'Capital Results '!BB16+AZ31</f>
        <v>634380.29553869402</v>
      </c>
      <c r="BB31" s="32">
        <f>'Capital Results '!BC16+BA31</f>
        <v>634380.29553869402</v>
      </c>
      <c r="BC31" s="32">
        <f>'Capital Results '!BD16+BB31</f>
        <v>634380.29553869402</v>
      </c>
      <c r="BD31" s="32">
        <f>'Capital Results '!BE16+BC31</f>
        <v>634380.29553869402</v>
      </c>
      <c r="BE31" s="32">
        <f>'Capital Results '!BF16+BD31</f>
        <v>634380.29553869402</v>
      </c>
      <c r="BF31" s="32">
        <f>'Capital Results '!BG16+BE31</f>
        <v>634380.29553869402</v>
      </c>
      <c r="BG31" s="32">
        <f>'Capital Results '!BH16+BF31</f>
        <v>634380.29553869402</v>
      </c>
      <c r="BH31" s="32">
        <f>'Capital Results '!BI16+BG31</f>
        <v>634380.29553869402</v>
      </c>
      <c r="BI31" s="32">
        <f>'Capital Results '!BJ16+BH31</f>
        <v>634380.29553869402</v>
      </c>
      <c r="BJ31" s="32">
        <f>'Capital Results '!BK16+BI31</f>
        <v>634380.29553869402</v>
      </c>
      <c r="BK31" s="32">
        <f>'Capital Results '!BL16+BJ31</f>
        <v>634380.29553869402</v>
      </c>
      <c r="BL31" s="32"/>
    </row>
    <row r="32" spans="1:65" ht="14.5" customHeight="1">
      <c r="A32" s="25" t="str">
        <f>'Project Assumptions'!B34</f>
        <v>Capital Expenditure 10</v>
      </c>
      <c r="B32" s="25">
        <f>'Project Assumptions'!E34</f>
        <v>2026</v>
      </c>
      <c r="C32" s="28">
        <f>'Capital Results '!D17</f>
        <v>0</v>
      </c>
      <c r="D32" s="32">
        <f>'Capital Results '!E17+C32</f>
        <v>0</v>
      </c>
      <c r="E32" s="32">
        <f>'Capital Results '!F17+D32</f>
        <v>0</v>
      </c>
      <c r="F32" s="32">
        <f>'Capital Results '!G17+E32</f>
        <v>0</v>
      </c>
      <c r="G32" s="32">
        <f>'Capital Results '!H17+F32</f>
        <v>0</v>
      </c>
      <c r="H32" s="32">
        <f>'Capital Results '!I17+G32</f>
        <v>0</v>
      </c>
      <c r="I32" s="32">
        <f>'Capital Results '!J17+H32</f>
        <v>0</v>
      </c>
      <c r="J32" s="32">
        <f>'Capital Results '!K17+I32</f>
        <v>0</v>
      </c>
      <c r="K32" s="32">
        <f>'Capital Results '!L17+J32</f>
        <v>0</v>
      </c>
      <c r="L32" s="32">
        <f>'Capital Results '!M17+K32</f>
        <v>0</v>
      </c>
      <c r="M32" s="32">
        <f>'Capital Results '!N17+L32</f>
        <v>541518.79397447989</v>
      </c>
      <c r="N32" s="32">
        <f>'Capital Results '!O17+M32</f>
        <v>541518.79397447989</v>
      </c>
      <c r="O32" s="32">
        <f>'Capital Results '!P17+N32</f>
        <v>541518.79397447989</v>
      </c>
      <c r="P32" s="32">
        <f>'Capital Results '!Q17+O32</f>
        <v>541518.79397447989</v>
      </c>
      <c r="Q32" s="32">
        <f>'Capital Results '!R17+P32</f>
        <v>541518.79397447989</v>
      </c>
      <c r="R32" s="32">
        <f>'Capital Results '!S17+Q32</f>
        <v>541518.79397447989</v>
      </c>
      <c r="S32" s="32">
        <f>'Capital Results '!T17+R32</f>
        <v>541518.79397447989</v>
      </c>
      <c r="T32" s="32">
        <f>'Capital Results '!U17+S32</f>
        <v>541518.79397447989</v>
      </c>
      <c r="U32" s="32">
        <f>'Capital Results '!V17+T32</f>
        <v>541518.79397447989</v>
      </c>
      <c r="V32" s="32">
        <f>'Capital Results '!W17+U32</f>
        <v>541518.79397447989</v>
      </c>
      <c r="W32" s="32">
        <f>'Capital Results '!X17+V32</f>
        <v>541518.79397447989</v>
      </c>
      <c r="X32" s="32">
        <f>'Capital Results '!Y17+W32</f>
        <v>541518.79397447989</v>
      </c>
      <c r="Y32" s="32">
        <f>'Capital Results '!Z17+X32</f>
        <v>541518.79397447989</v>
      </c>
      <c r="Z32" s="32">
        <f>'Capital Results '!AA17+Y32</f>
        <v>541518.79397447989</v>
      </c>
      <c r="AA32" s="32">
        <f>'Capital Results '!AB17+Z32</f>
        <v>541518.79397447989</v>
      </c>
      <c r="AB32" s="32">
        <f>'Capital Results '!AC17+AA32</f>
        <v>541518.79397447989</v>
      </c>
      <c r="AC32" s="32">
        <f>'Capital Results '!AD17+AB32</f>
        <v>541518.79397447989</v>
      </c>
      <c r="AD32" s="32">
        <f>'Capital Results '!AE17+AC32</f>
        <v>541518.79397447989</v>
      </c>
      <c r="AE32" s="32">
        <f>'Capital Results '!AF17+AD32</f>
        <v>541518.79397447989</v>
      </c>
      <c r="AF32" s="32">
        <f>'Capital Results '!AG17+AE32</f>
        <v>541518.79397447989</v>
      </c>
      <c r="AG32" s="32">
        <f>'Capital Results '!AH17+AF32</f>
        <v>541518.79397447989</v>
      </c>
      <c r="AH32" s="32">
        <f>'Capital Results '!AI17+AG32</f>
        <v>541518.79397447989</v>
      </c>
      <c r="AI32" s="32">
        <f>'Capital Results '!AJ17+AH32</f>
        <v>541518.79397447989</v>
      </c>
      <c r="AJ32" s="32">
        <f>'Capital Results '!AK17+AI32</f>
        <v>541518.79397447989</v>
      </c>
      <c r="AK32" s="32">
        <f>'Capital Results '!AL17+AJ32</f>
        <v>541518.79397447989</v>
      </c>
      <c r="AL32" s="32">
        <f>'Capital Results '!AM17+AK32</f>
        <v>541518.79397447989</v>
      </c>
      <c r="AM32" s="32">
        <f>'Capital Results '!AN17+AL32</f>
        <v>541518.79397447989</v>
      </c>
      <c r="AN32" s="32">
        <f>'Capital Results '!AO17+AM32</f>
        <v>541518.79397447989</v>
      </c>
      <c r="AO32" s="32">
        <f>'Capital Results '!AP17+AN32</f>
        <v>541518.79397447989</v>
      </c>
      <c r="AP32" s="32">
        <f>'Capital Results '!AQ17+AO32</f>
        <v>541518.79397447989</v>
      </c>
      <c r="AQ32" s="32">
        <f>'Capital Results '!AR17+AP32</f>
        <v>541518.79397447989</v>
      </c>
      <c r="AR32" s="32">
        <f>'Capital Results '!AS17+AQ32</f>
        <v>541518.79397447989</v>
      </c>
      <c r="AS32" s="32">
        <f>'Capital Results '!AT17+AR32</f>
        <v>541518.79397447989</v>
      </c>
      <c r="AT32" s="32">
        <f>'Capital Results '!AU17+AS32</f>
        <v>541518.79397447989</v>
      </c>
      <c r="AU32" s="32">
        <f>'Capital Results '!AV17+AT32</f>
        <v>541518.79397447989</v>
      </c>
      <c r="AV32" s="32">
        <f>'Capital Results '!AW17+AU32</f>
        <v>541518.79397447989</v>
      </c>
      <c r="AW32" s="32">
        <f>'Capital Results '!AX17+AV32</f>
        <v>541518.79397447989</v>
      </c>
      <c r="AX32" s="32">
        <f>'Capital Results '!AY17+AW32</f>
        <v>541518.79397447989</v>
      </c>
      <c r="AY32" s="32">
        <f>'Capital Results '!AZ17+AX32</f>
        <v>541518.79397447989</v>
      </c>
      <c r="AZ32" s="32">
        <f>'Capital Results '!BA17+AY32</f>
        <v>541518.79397447989</v>
      </c>
      <c r="BA32" s="32">
        <f>'Capital Results '!BB17+AZ32</f>
        <v>541518.79397447989</v>
      </c>
      <c r="BB32" s="32">
        <f>'Capital Results '!BC17+BA32</f>
        <v>541518.79397447989</v>
      </c>
      <c r="BC32" s="32">
        <f>'Capital Results '!BD17+BB32</f>
        <v>541518.79397447989</v>
      </c>
      <c r="BD32" s="32">
        <f>'Capital Results '!BE17+BC32</f>
        <v>541518.79397447989</v>
      </c>
      <c r="BE32" s="32">
        <f>'Capital Results '!BF17+BD32</f>
        <v>541518.79397447989</v>
      </c>
      <c r="BF32" s="32">
        <f>'Capital Results '!BG17+BE32</f>
        <v>541518.79397447989</v>
      </c>
      <c r="BG32" s="32">
        <f>'Capital Results '!BH17+BF32</f>
        <v>541518.79397447989</v>
      </c>
      <c r="BH32" s="32">
        <f>'Capital Results '!BI17+BG32</f>
        <v>541518.79397447989</v>
      </c>
      <c r="BI32" s="32">
        <f>'Capital Results '!BJ17+BH32</f>
        <v>541518.79397447989</v>
      </c>
      <c r="BJ32" s="32">
        <f>'Capital Results '!BK17+BI32</f>
        <v>541518.79397447989</v>
      </c>
      <c r="BK32" s="32">
        <f>'Capital Results '!BL17+BJ32</f>
        <v>541518.79397447989</v>
      </c>
      <c r="BL32" s="32"/>
    </row>
    <row r="33" spans="1:65" ht="14.5" customHeight="1">
      <c r="A33" s="25" t="str">
        <f>'Project Assumptions'!B35</f>
        <v>Capital Expenditure 11</v>
      </c>
      <c r="B33" s="25">
        <f>'Project Assumptions'!E35</f>
        <v>2027</v>
      </c>
      <c r="C33" s="28">
        <f>'Capital Results '!D18</f>
        <v>0</v>
      </c>
      <c r="D33" s="32">
        <f>'Capital Results '!E18+C33</f>
        <v>0</v>
      </c>
      <c r="E33" s="32">
        <f>'Capital Results '!F18+D33</f>
        <v>0</v>
      </c>
      <c r="F33" s="32">
        <f>'Capital Results '!G18+E33</f>
        <v>0</v>
      </c>
      <c r="G33" s="32">
        <f>'Capital Results '!H18+F33</f>
        <v>0</v>
      </c>
      <c r="H33" s="32">
        <f>'Capital Results '!I18+G33</f>
        <v>0</v>
      </c>
      <c r="I33" s="32">
        <f>'Capital Results '!J18+H33</f>
        <v>0</v>
      </c>
      <c r="J33" s="32">
        <f>'Capital Results '!K18+I33</f>
        <v>0</v>
      </c>
      <c r="K33" s="32">
        <f>'Capital Results '!L18+J33</f>
        <v>0</v>
      </c>
      <c r="L33" s="32">
        <f>'Capital Results '!M18+K33</f>
        <v>0</v>
      </c>
      <c r="M33" s="32">
        <f>'Capital Results '!N18+L33</f>
        <v>0</v>
      </c>
      <c r="N33" s="32">
        <f>'Capital Results '!O18+M33</f>
        <v>547287.11254432471</v>
      </c>
      <c r="O33" s="32">
        <f>'Capital Results '!P18+N33</f>
        <v>547287.11254432471</v>
      </c>
      <c r="P33" s="32">
        <f>'Capital Results '!Q18+O33</f>
        <v>547287.11254432471</v>
      </c>
      <c r="Q33" s="32">
        <f>'Capital Results '!R18+P33</f>
        <v>547287.11254432471</v>
      </c>
      <c r="R33" s="32">
        <f>'Capital Results '!S18+Q33</f>
        <v>547287.11254432471</v>
      </c>
      <c r="S33" s="32">
        <f>'Capital Results '!T18+R33</f>
        <v>547287.11254432471</v>
      </c>
      <c r="T33" s="32">
        <f>'Capital Results '!U18+S33</f>
        <v>547287.11254432471</v>
      </c>
      <c r="U33" s="32">
        <f>'Capital Results '!V18+T33</f>
        <v>547287.11254432471</v>
      </c>
      <c r="V33" s="32">
        <f>'Capital Results '!W18+U33</f>
        <v>547287.11254432471</v>
      </c>
      <c r="W33" s="32">
        <f>'Capital Results '!X18+V33</f>
        <v>547287.11254432471</v>
      </c>
      <c r="X33" s="32">
        <f>'Capital Results '!Y18+W33</f>
        <v>547287.11254432471</v>
      </c>
      <c r="Y33" s="32">
        <f>'Capital Results '!Z18+X33</f>
        <v>547287.11254432471</v>
      </c>
      <c r="Z33" s="32">
        <f>'Capital Results '!AA18+Y33</f>
        <v>547287.11254432471</v>
      </c>
      <c r="AA33" s="32">
        <f>'Capital Results '!AB18+Z33</f>
        <v>547287.11254432471</v>
      </c>
      <c r="AB33" s="32">
        <f>'Capital Results '!AC18+AA33</f>
        <v>547287.11254432471</v>
      </c>
      <c r="AC33" s="32">
        <f>'Capital Results '!AD18+AB33</f>
        <v>547287.11254432471</v>
      </c>
      <c r="AD33" s="32">
        <f>'Capital Results '!AE18+AC33</f>
        <v>547287.11254432471</v>
      </c>
      <c r="AE33" s="32">
        <f>'Capital Results '!AF18+AD33</f>
        <v>547287.11254432471</v>
      </c>
      <c r="AF33" s="32">
        <f>'Capital Results '!AG18+AE33</f>
        <v>547287.11254432471</v>
      </c>
      <c r="AG33" s="32">
        <f>'Capital Results '!AH18+AF33</f>
        <v>547287.11254432471</v>
      </c>
      <c r="AH33" s="32">
        <f>'Capital Results '!AI18+AG33</f>
        <v>547287.11254432471</v>
      </c>
      <c r="AI33" s="32">
        <f>'Capital Results '!AJ18+AH33</f>
        <v>547287.11254432471</v>
      </c>
      <c r="AJ33" s="32">
        <f>'Capital Results '!AK18+AI33</f>
        <v>547287.11254432471</v>
      </c>
      <c r="AK33" s="32">
        <f>'Capital Results '!AL18+AJ33</f>
        <v>547287.11254432471</v>
      </c>
      <c r="AL33" s="32">
        <f>'Capital Results '!AM18+AK33</f>
        <v>547287.11254432471</v>
      </c>
      <c r="AM33" s="32">
        <f>'Capital Results '!AN18+AL33</f>
        <v>547287.11254432471</v>
      </c>
      <c r="AN33" s="32">
        <f>'Capital Results '!AO18+AM33</f>
        <v>547287.11254432471</v>
      </c>
      <c r="AO33" s="32">
        <f>'Capital Results '!AP18+AN33</f>
        <v>547287.11254432471</v>
      </c>
      <c r="AP33" s="32">
        <f>'Capital Results '!AQ18+AO33</f>
        <v>547287.11254432471</v>
      </c>
      <c r="AQ33" s="32">
        <f>'Capital Results '!AR18+AP33</f>
        <v>547287.11254432471</v>
      </c>
      <c r="AR33" s="32">
        <f>'Capital Results '!AS18+AQ33</f>
        <v>547287.11254432471</v>
      </c>
      <c r="AS33" s="32">
        <f>'Capital Results '!AT18+AR33</f>
        <v>547287.11254432471</v>
      </c>
      <c r="AT33" s="32">
        <f>'Capital Results '!AU18+AS33</f>
        <v>547287.11254432471</v>
      </c>
      <c r="AU33" s="32">
        <f>'Capital Results '!AV18+AT33</f>
        <v>547287.11254432471</v>
      </c>
      <c r="AV33" s="32">
        <f>'Capital Results '!AW18+AU33</f>
        <v>547287.11254432471</v>
      </c>
      <c r="AW33" s="32">
        <f>'Capital Results '!AX18+AV33</f>
        <v>547287.11254432471</v>
      </c>
      <c r="AX33" s="32">
        <f>'Capital Results '!AY18+AW33</f>
        <v>547287.11254432471</v>
      </c>
      <c r="AY33" s="32">
        <f>'Capital Results '!AZ18+AX33</f>
        <v>547287.11254432471</v>
      </c>
      <c r="AZ33" s="32">
        <f>'Capital Results '!BA18+AY33</f>
        <v>547287.11254432471</v>
      </c>
      <c r="BA33" s="32">
        <f>'Capital Results '!BB18+AZ33</f>
        <v>547287.11254432471</v>
      </c>
      <c r="BB33" s="32">
        <f>'Capital Results '!BC18+BA33</f>
        <v>547287.11254432471</v>
      </c>
      <c r="BC33" s="32">
        <f>'Capital Results '!BD18+BB33</f>
        <v>547287.11254432471</v>
      </c>
      <c r="BD33" s="32">
        <f>'Capital Results '!BE18+BC33</f>
        <v>547287.11254432471</v>
      </c>
      <c r="BE33" s="32">
        <f>'Capital Results '!BF18+BD33</f>
        <v>547287.11254432471</v>
      </c>
      <c r="BF33" s="32">
        <f>'Capital Results '!BG18+BE33</f>
        <v>547287.11254432471</v>
      </c>
      <c r="BG33" s="32">
        <f>'Capital Results '!BH18+BF33</f>
        <v>547287.11254432471</v>
      </c>
      <c r="BH33" s="32">
        <f>'Capital Results '!BI18+BG33</f>
        <v>547287.11254432471</v>
      </c>
      <c r="BI33" s="32">
        <f>'Capital Results '!BJ18+BH33</f>
        <v>547287.11254432471</v>
      </c>
      <c r="BJ33" s="32">
        <f>'Capital Results '!BK18+BI33</f>
        <v>547287.11254432471</v>
      </c>
      <c r="BK33" s="32">
        <f>'Capital Results '!BL18+BJ33</f>
        <v>547287.11254432471</v>
      </c>
      <c r="BL33" s="32"/>
    </row>
    <row r="34" spans="1:65" ht="14.5" customHeight="1">
      <c r="A34" s="25" t="str">
        <f>'Project Assumptions'!B36</f>
        <v>Capital Expenditure 12</v>
      </c>
      <c r="B34" s="25">
        <f>'Project Assumptions'!E36</f>
        <v>2028</v>
      </c>
      <c r="C34" s="28">
        <f>'Capital Results '!D19</f>
        <v>0</v>
      </c>
      <c r="D34" s="32">
        <f>'Capital Results '!E19+C34</f>
        <v>0</v>
      </c>
      <c r="E34" s="32">
        <f>'Capital Results '!F19+D34</f>
        <v>0</v>
      </c>
      <c r="F34" s="32">
        <f>'Capital Results '!G19+E34</f>
        <v>0</v>
      </c>
      <c r="G34" s="32">
        <f>'Capital Results '!H19+F34</f>
        <v>0</v>
      </c>
      <c r="H34" s="32">
        <f>'Capital Results '!I19+G34</f>
        <v>0</v>
      </c>
      <c r="I34" s="32">
        <f>'Capital Results '!J19+H34</f>
        <v>0</v>
      </c>
      <c r="J34" s="32">
        <f>'Capital Results '!K19+I34</f>
        <v>0</v>
      </c>
      <c r="K34" s="32">
        <f>'Capital Results '!L19+J34</f>
        <v>0</v>
      </c>
      <c r="L34" s="32">
        <f>'Capital Results '!M19+K34</f>
        <v>0</v>
      </c>
      <c r="M34" s="32">
        <f>'Capital Results '!N19+L34</f>
        <v>0</v>
      </c>
      <c r="N34" s="32">
        <f>'Capital Results '!O19+M34</f>
        <v>0</v>
      </c>
      <c r="O34" s="32">
        <f>'Capital Results '!P19+N34</f>
        <v>563705.72592065425</v>
      </c>
      <c r="P34" s="32">
        <f>'Capital Results '!Q19+O34</f>
        <v>563705.72592065425</v>
      </c>
      <c r="Q34" s="32">
        <f>'Capital Results '!R19+P34</f>
        <v>563705.72592065425</v>
      </c>
      <c r="R34" s="32">
        <f>'Capital Results '!S19+Q34</f>
        <v>563705.72592065425</v>
      </c>
      <c r="S34" s="32">
        <f>'Capital Results '!T19+R34</f>
        <v>563705.72592065425</v>
      </c>
      <c r="T34" s="32">
        <f>'Capital Results '!U19+S34</f>
        <v>563705.72592065425</v>
      </c>
      <c r="U34" s="32">
        <f>'Capital Results '!V19+T34</f>
        <v>563705.72592065425</v>
      </c>
      <c r="V34" s="32">
        <f>'Capital Results '!W19+U34</f>
        <v>563705.72592065425</v>
      </c>
      <c r="W34" s="32">
        <f>'Capital Results '!X19+V34</f>
        <v>563705.72592065425</v>
      </c>
      <c r="X34" s="32">
        <f>'Capital Results '!Y19+W34</f>
        <v>563705.72592065425</v>
      </c>
      <c r="Y34" s="32">
        <f>'Capital Results '!Z19+X34</f>
        <v>563705.72592065425</v>
      </c>
      <c r="Z34" s="32">
        <f>'Capital Results '!AA19+Y34</f>
        <v>563705.72592065425</v>
      </c>
      <c r="AA34" s="32">
        <f>'Capital Results '!AB19+Z34</f>
        <v>563705.72592065425</v>
      </c>
      <c r="AB34" s="32">
        <f>'Capital Results '!AC19+AA34</f>
        <v>563705.72592065425</v>
      </c>
      <c r="AC34" s="32">
        <f>'Capital Results '!AD19+AB34</f>
        <v>563705.72592065425</v>
      </c>
      <c r="AD34" s="32">
        <f>'Capital Results '!AE19+AC34</f>
        <v>563705.72592065425</v>
      </c>
      <c r="AE34" s="32">
        <f>'Capital Results '!AF19+AD34</f>
        <v>563705.72592065425</v>
      </c>
      <c r="AF34" s="32">
        <f>'Capital Results '!AG19+AE34</f>
        <v>563705.72592065425</v>
      </c>
      <c r="AG34" s="32">
        <f>'Capital Results '!AH19+AF34</f>
        <v>563705.72592065425</v>
      </c>
      <c r="AH34" s="32">
        <f>'Capital Results '!AI19+AG34</f>
        <v>563705.72592065425</v>
      </c>
      <c r="AI34" s="32">
        <f>'Capital Results '!AJ19+AH34</f>
        <v>563705.72592065425</v>
      </c>
      <c r="AJ34" s="32">
        <f>'Capital Results '!AK19+AI34</f>
        <v>563705.72592065425</v>
      </c>
      <c r="AK34" s="32">
        <f>'Capital Results '!AL19+AJ34</f>
        <v>563705.72592065425</v>
      </c>
      <c r="AL34" s="32">
        <f>'Capital Results '!AM19+AK34</f>
        <v>563705.72592065425</v>
      </c>
      <c r="AM34" s="32">
        <f>'Capital Results '!AN19+AL34</f>
        <v>563705.72592065425</v>
      </c>
      <c r="AN34" s="32">
        <f>'Capital Results '!AO19+AM34</f>
        <v>563705.72592065425</v>
      </c>
      <c r="AO34" s="32">
        <f>'Capital Results '!AP19+AN34</f>
        <v>563705.72592065425</v>
      </c>
      <c r="AP34" s="32">
        <f>'Capital Results '!AQ19+AO34</f>
        <v>563705.72592065425</v>
      </c>
      <c r="AQ34" s="32">
        <f>'Capital Results '!AR19+AP34</f>
        <v>563705.72592065425</v>
      </c>
      <c r="AR34" s="32">
        <f>'Capital Results '!AS19+AQ34</f>
        <v>563705.72592065425</v>
      </c>
      <c r="AS34" s="32">
        <f>'Capital Results '!AT19+AR34</f>
        <v>563705.72592065425</v>
      </c>
      <c r="AT34" s="32">
        <f>'Capital Results '!AU19+AS34</f>
        <v>563705.72592065425</v>
      </c>
      <c r="AU34" s="32">
        <f>'Capital Results '!AV19+AT34</f>
        <v>563705.72592065425</v>
      </c>
      <c r="AV34" s="32">
        <f>'Capital Results '!AW19+AU34</f>
        <v>563705.72592065425</v>
      </c>
      <c r="AW34" s="32">
        <f>'Capital Results '!AX19+AV34</f>
        <v>563705.72592065425</v>
      </c>
      <c r="AX34" s="32">
        <f>'Capital Results '!AY19+AW34</f>
        <v>563705.72592065425</v>
      </c>
      <c r="AY34" s="32">
        <f>'Capital Results '!AZ19+AX34</f>
        <v>563705.72592065425</v>
      </c>
      <c r="AZ34" s="32">
        <f>'Capital Results '!BA19+AY34</f>
        <v>563705.72592065425</v>
      </c>
      <c r="BA34" s="32">
        <f>'Capital Results '!BB19+AZ34</f>
        <v>563705.72592065425</v>
      </c>
      <c r="BB34" s="32">
        <f>'Capital Results '!BC19+BA34</f>
        <v>563705.72592065425</v>
      </c>
      <c r="BC34" s="32">
        <f>'Capital Results '!BD19+BB34</f>
        <v>563705.72592065425</v>
      </c>
      <c r="BD34" s="32">
        <f>'Capital Results '!BE19+BC34</f>
        <v>563705.72592065425</v>
      </c>
      <c r="BE34" s="32">
        <f>'Capital Results '!BF19+BD34</f>
        <v>563705.72592065425</v>
      </c>
      <c r="BF34" s="32">
        <f>'Capital Results '!BG19+BE34</f>
        <v>563705.72592065425</v>
      </c>
      <c r="BG34" s="32">
        <f>'Capital Results '!BH19+BF34</f>
        <v>563705.72592065425</v>
      </c>
      <c r="BH34" s="32">
        <f>'Capital Results '!BI19+BG34</f>
        <v>563705.72592065425</v>
      </c>
      <c r="BI34" s="32">
        <f>'Capital Results '!BJ19+BH34</f>
        <v>563705.72592065425</v>
      </c>
      <c r="BJ34" s="32">
        <f>'Capital Results '!BK19+BI34</f>
        <v>563705.72592065425</v>
      </c>
      <c r="BK34" s="32">
        <f>'Capital Results '!BL19+BJ34</f>
        <v>563705.72592065425</v>
      </c>
      <c r="BL34" s="32"/>
    </row>
    <row r="35" spans="1:65" s="42" customFormat="1" ht="14.5" customHeight="1">
      <c r="A35" s="27" t="s">
        <v>156</v>
      </c>
      <c r="B35" s="27"/>
      <c r="C35" s="79">
        <f>SUM(C23:C34)</f>
        <v>0</v>
      </c>
      <c r="D35" s="79">
        <f>SUM(D23:D34)</f>
        <v>21331808.445791449</v>
      </c>
      <c r="E35" s="79">
        <f t="shared" ref="E35:AP35" si="66">SUM(E23:E34)</f>
        <v>56186909.345991537</v>
      </c>
      <c r="F35" s="79">
        <f t="shared" si="66"/>
        <v>138850961.64619416</v>
      </c>
      <c r="G35" s="79">
        <f>SUM(G23:G34)</f>
        <v>207350302.10357767</v>
      </c>
      <c r="H35" s="79">
        <f>SUM(H23:H34)</f>
        <v>278248193.93389779</v>
      </c>
      <c r="I35" s="79">
        <f t="shared" si="66"/>
        <v>351273022.51912755</v>
      </c>
      <c r="J35" s="79">
        <f t="shared" si="66"/>
        <v>426488595.96191418</v>
      </c>
      <c r="K35" s="79">
        <f t="shared" si="66"/>
        <v>491474446.25127476</v>
      </c>
      <c r="L35" s="79">
        <f t="shared" si="66"/>
        <v>492108826.54681349</v>
      </c>
      <c r="M35" s="79">
        <f t="shared" si="66"/>
        <v>492650345.34078795</v>
      </c>
      <c r="N35" s="79">
        <f t="shared" si="66"/>
        <v>493197632.45333225</v>
      </c>
      <c r="O35" s="79">
        <f t="shared" si="66"/>
        <v>493761338.17925292</v>
      </c>
      <c r="P35" s="79">
        <f t="shared" si="66"/>
        <v>493761338.17925292</v>
      </c>
      <c r="Q35" s="79">
        <f t="shared" si="66"/>
        <v>493761338.17925292</v>
      </c>
      <c r="R35" s="79">
        <f t="shared" si="66"/>
        <v>493761338.17925292</v>
      </c>
      <c r="S35" s="79">
        <f t="shared" si="66"/>
        <v>493761338.17925292</v>
      </c>
      <c r="T35" s="79">
        <f t="shared" si="66"/>
        <v>493761338.17925292</v>
      </c>
      <c r="U35" s="79">
        <f t="shared" si="66"/>
        <v>493761338.17925292</v>
      </c>
      <c r="V35" s="79">
        <f t="shared" si="66"/>
        <v>493761338.17925292</v>
      </c>
      <c r="W35" s="79">
        <f t="shared" si="66"/>
        <v>493761338.17925292</v>
      </c>
      <c r="X35" s="79">
        <f t="shared" si="66"/>
        <v>493761338.17925292</v>
      </c>
      <c r="Y35" s="79">
        <f t="shared" si="66"/>
        <v>493761338.17925292</v>
      </c>
      <c r="Z35" s="79">
        <f t="shared" si="66"/>
        <v>493761338.17925292</v>
      </c>
      <c r="AA35" s="79">
        <f t="shared" si="66"/>
        <v>493761338.17925292</v>
      </c>
      <c r="AB35" s="79">
        <f t="shared" si="66"/>
        <v>493761338.17925292</v>
      </c>
      <c r="AC35" s="79">
        <f>SUM(AC23:AC34)</f>
        <v>493761338.17925292</v>
      </c>
      <c r="AD35" s="79">
        <f t="shared" si="66"/>
        <v>493761338.17925292</v>
      </c>
      <c r="AE35" s="79">
        <f t="shared" si="66"/>
        <v>493761338.17925292</v>
      </c>
      <c r="AF35" s="79">
        <f t="shared" si="66"/>
        <v>493761338.17925292</v>
      </c>
      <c r="AG35" s="79">
        <f t="shared" si="66"/>
        <v>493761338.17925292</v>
      </c>
      <c r="AH35" s="79">
        <f t="shared" si="66"/>
        <v>493761338.17925292</v>
      </c>
      <c r="AI35" s="79">
        <f t="shared" si="66"/>
        <v>493761338.17925292</v>
      </c>
      <c r="AJ35" s="79">
        <f t="shared" si="66"/>
        <v>493761338.17925292</v>
      </c>
      <c r="AK35" s="79">
        <f>SUM(AK23:AK34)</f>
        <v>493761338.17925292</v>
      </c>
      <c r="AL35" s="79">
        <f t="shared" si="66"/>
        <v>493761338.17925292</v>
      </c>
      <c r="AM35" s="79">
        <f t="shared" si="66"/>
        <v>493761338.17925292</v>
      </c>
      <c r="AN35" s="79">
        <f t="shared" si="66"/>
        <v>493761338.17925292</v>
      </c>
      <c r="AO35" s="79">
        <f t="shared" si="66"/>
        <v>493761338.17925292</v>
      </c>
      <c r="AP35" s="79">
        <f t="shared" si="66"/>
        <v>493761338.17925292</v>
      </c>
      <c r="AQ35" s="79">
        <f t="shared" ref="AQ35:AX35" si="67">SUM(AQ23:AQ34)</f>
        <v>493761338.17925292</v>
      </c>
      <c r="AR35" s="79">
        <f t="shared" si="67"/>
        <v>493761338.17925292</v>
      </c>
      <c r="AS35" s="79">
        <f t="shared" si="67"/>
        <v>493761338.17925292</v>
      </c>
      <c r="AT35" s="79">
        <f t="shared" si="67"/>
        <v>493761338.17925292</v>
      </c>
      <c r="AU35" s="79">
        <f t="shared" si="67"/>
        <v>493761338.17925292</v>
      </c>
      <c r="AV35" s="79">
        <f t="shared" si="67"/>
        <v>493761338.17925292</v>
      </c>
      <c r="AW35" s="79">
        <f t="shared" si="67"/>
        <v>493761338.17925292</v>
      </c>
      <c r="AX35" s="79">
        <f t="shared" si="67"/>
        <v>493761338.17925292</v>
      </c>
      <c r="AY35" s="79">
        <f t="shared" ref="AY35:BB35" si="68">SUM(AY23:AY34)</f>
        <v>493761338.17925292</v>
      </c>
      <c r="AZ35" s="79">
        <f t="shared" si="68"/>
        <v>493761338.17925292</v>
      </c>
      <c r="BA35" s="79">
        <f t="shared" si="68"/>
        <v>493761338.17925292</v>
      </c>
      <c r="BB35" s="79">
        <f t="shared" si="68"/>
        <v>493761338.17925292</v>
      </c>
      <c r="BC35" s="79">
        <f t="shared" ref="BC35:BK35" si="69">SUM(BC23:BC34)</f>
        <v>493761338.17925292</v>
      </c>
      <c r="BD35" s="79">
        <f t="shared" si="69"/>
        <v>493761338.17925292</v>
      </c>
      <c r="BE35" s="79">
        <f t="shared" si="69"/>
        <v>493761338.17925292</v>
      </c>
      <c r="BF35" s="79">
        <f t="shared" si="69"/>
        <v>493761338.17925292</v>
      </c>
      <c r="BG35" s="79">
        <f t="shared" si="69"/>
        <v>493761338.17925292</v>
      </c>
      <c r="BH35" s="79">
        <f t="shared" si="69"/>
        <v>493761338.17925292</v>
      </c>
      <c r="BI35" s="79">
        <f t="shared" si="69"/>
        <v>493761338.17925292</v>
      </c>
      <c r="BJ35" s="79">
        <f t="shared" si="69"/>
        <v>493761338.17925292</v>
      </c>
      <c r="BK35" s="79">
        <f t="shared" si="69"/>
        <v>493761338.17925292</v>
      </c>
      <c r="BL35" s="79"/>
      <c r="BM35" s="257"/>
    </row>
    <row r="36" spans="1:65" ht="14.5" customHeight="1"/>
    <row r="37" spans="1:65" ht="14.5" customHeight="1"/>
    <row r="38" spans="1:65" ht="14.5" customHeight="1">
      <c r="A38" s="27" t="s">
        <v>39</v>
      </c>
      <c r="B38" s="34" t="s">
        <v>40</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row>
    <row r="39" spans="1:65" ht="14.5" customHeight="1">
      <c r="A39" s="25" t="str">
        <f t="shared" ref="A39:A48" si="70">A23</f>
        <v>Capital Expenditure 1</v>
      </c>
      <c r="B39" s="35">
        <f>1/'Project Assumptions'!C25</f>
        <v>0.05</v>
      </c>
      <c r="C39" s="28">
        <f>C23*$B39*IF($B23&lt;C$4,1,0)*IF('Project Assumptions'!$E25+'Project Assumptions'!$C25&gt;='Plant Results'!C$4,1,0)</f>
        <v>0</v>
      </c>
      <c r="D39" s="28">
        <f>D23*$B39*IF($B23&lt;D$4,1,0)*IF('Project Assumptions'!$E25+'Project Assumptions'!$C25&gt;='Plant Results'!D$4,1,0)</f>
        <v>0</v>
      </c>
      <c r="E39" s="28">
        <f>E23*$B39*IF($B23&lt;E$4,1,0)*IF('Project Assumptions'!$E25+'Project Assumptions'!$C25&gt;='Plant Results'!E$4,1,0)</f>
        <v>1066590.4222895724</v>
      </c>
      <c r="F39" s="28">
        <f>F23*$B39*IF($B23&lt;F$4,1,0)*IF('Project Assumptions'!$E25+'Project Assumptions'!$C25&gt;='Plant Results'!F$4,1,0)</f>
        <v>1066590.4222895724</v>
      </c>
      <c r="G39" s="28">
        <f>G23*$B39*IF($B23&lt;G$4,1,0)*IF('Project Assumptions'!$E25+'Project Assumptions'!$C25&gt;='Plant Results'!G$4,1,0)</f>
        <v>1066590.4222895724</v>
      </c>
      <c r="H39" s="28">
        <f>H23*$B39*IF($B23&lt;H$4,1,0)*IF('Project Assumptions'!$E25+'Project Assumptions'!$C25&gt;='Plant Results'!H$4,1,0)</f>
        <v>1066590.4222895724</v>
      </c>
      <c r="I39" s="28">
        <f>I23*$B39*IF($B23&lt;I$4,1,0)*IF('Project Assumptions'!$E25+'Project Assumptions'!$C25&gt;='Plant Results'!I$4,1,0)</f>
        <v>1066590.4222895724</v>
      </c>
      <c r="J39" s="28">
        <f>J23*$B39*IF($B23&lt;J$4,1,0)*IF('Project Assumptions'!$E25+'Project Assumptions'!$C25&gt;='Plant Results'!J$4,1,0)</f>
        <v>1066590.4222895724</v>
      </c>
      <c r="K39" s="28">
        <f>K23*$B39*IF($B23&lt;K$4,1,0)*IF('Project Assumptions'!$E25+'Project Assumptions'!$C25&gt;='Plant Results'!K$4,1,0)</f>
        <v>1066590.4222895724</v>
      </c>
      <c r="L39" s="28">
        <f>L23*$B39*IF($B23&lt;L$4,1,0)*IF('Project Assumptions'!$E25+'Project Assumptions'!$C25&gt;='Plant Results'!L$4,1,0)</f>
        <v>1066590.4222895724</v>
      </c>
      <c r="M39" s="28">
        <f>M23*$B39*IF($B23&lt;M$4,1,0)*IF('Project Assumptions'!$E25+'Project Assumptions'!$C25&gt;='Plant Results'!M$4,1,0)</f>
        <v>1066590.4222895724</v>
      </c>
      <c r="N39" s="28">
        <f>N23*$B39*IF($B23&lt;N$4,1,0)*IF('Project Assumptions'!$E25+'Project Assumptions'!$C25&gt;='Plant Results'!N$4,1,0)</f>
        <v>1066590.4222895724</v>
      </c>
      <c r="O39" s="28">
        <f>O23*$B39*IF($B23&lt;O$4,1,0)*IF('Project Assumptions'!$E25+'Project Assumptions'!$C25&gt;='Plant Results'!O$4,1,0)</f>
        <v>1066590.4222895724</v>
      </c>
      <c r="P39" s="28">
        <f>P23*$B39*IF($B23&lt;P$4,1,0)*IF('Project Assumptions'!$E25+'Project Assumptions'!$C25&gt;='Plant Results'!P$4,1,0)</f>
        <v>1066590.4222895724</v>
      </c>
      <c r="Q39" s="28">
        <f>Q23*$B39*IF($B23&lt;Q$4,1,0)*IF('Project Assumptions'!$E25+'Project Assumptions'!$C25&gt;='Plant Results'!Q$4,1,0)</f>
        <v>1066590.4222895724</v>
      </c>
      <c r="R39" s="28">
        <f>R23*$B39*IF($B23&lt;R$4,1,0)*IF('Project Assumptions'!$E25+'Project Assumptions'!$C25&gt;='Plant Results'!R$4,1,0)</f>
        <v>1066590.4222895724</v>
      </c>
      <c r="S39" s="28">
        <f>S23*$B39*IF($B23&lt;S$4,1,0)*IF('Project Assumptions'!$E25+'Project Assumptions'!$C25&gt;='Plant Results'!S$4,1,0)</f>
        <v>1066590.4222895724</v>
      </c>
      <c r="T39" s="28">
        <f>T23*$B39*IF($B23&lt;T$4,1,0)*IF('Project Assumptions'!$E25+'Project Assumptions'!$C25&gt;='Plant Results'!T$4,1,0)</f>
        <v>1066590.4222895724</v>
      </c>
      <c r="U39" s="28">
        <f>U23*$B39*IF($B23&lt;U$4,1,0)*IF('Project Assumptions'!$E25+'Project Assumptions'!$C25&gt;='Plant Results'!U$4,1,0)</f>
        <v>1066590.4222895724</v>
      </c>
      <c r="V39" s="28">
        <f>V23*$B39*IF($B23&lt;V$4,1,0)*IF('Project Assumptions'!$E25+'Project Assumptions'!$C25&gt;='Plant Results'!V$4,1,0)</f>
        <v>1066590.4222895724</v>
      </c>
      <c r="W39" s="28">
        <f>W23*$B39*IF($B23&lt;W$4,1,0)*IF('Project Assumptions'!$E25+'Project Assumptions'!$C25&gt;='Plant Results'!W$4,1,0)</f>
        <v>1066590.4222895724</v>
      </c>
      <c r="X39" s="28">
        <f>X23*$B39*IF($B23&lt;X$4,1,0)*IF('Project Assumptions'!$E25+'Project Assumptions'!$C25&gt;='Plant Results'!X$4,1,0)</f>
        <v>1066590.4222895724</v>
      </c>
      <c r="Y39" s="28">
        <f>Y23*$B39*IF($B23&lt;Y$4,1,0)*IF('Project Assumptions'!$E25+'Project Assumptions'!$C25&gt;='Plant Results'!Y$4,1,0)</f>
        <v>0</v>
      </c>
      <c r="Z39" s="28">
        <f>Z23*$B39*IF($B23&lt;Z$4,1,0)*IF('Project Assumptions'!$E25+'Project Assumptions'!$C25&gt;='Plant Results'!Z$4,1,0)</f>
        <v>0</v>
      </c>
      <c r="AA39" s="28">
        <f>AA23*$B39*IF($B23&lt;AA$4,1,0)*IF('Project Assumptions'!$E25+'Project Assumptions'!$C25&gt;='Plant Results'!AA$4,1,0)</f>
        <v>0</v>
      </c>
      <c r="AB39" s="28">
        <f>AB23*$B39*IF($B23&lt;AB$4,1,0)*IF('Project Assumptions'!$E25+'Project Assumptions'!$C25&gt;='Plant Results'!AB$4,1,0)</f>
        <v>0</v>
      </c>
      <c r="AC39" s="28">
        <f>AC23*$B39*IF($B23&lt;AC$4,1,0)*IF('Project Assumptions'!$E25+'Project Assumptions'!$C25&gt;='Plant Results'!AC$4,1,0)</f>
        <v>0</v>
      </c>
      <c r="AD39" s="28">
        <f>AD23*$B39*IF($B23&lt;AD$4,1,0)*IF('Project Assumptions'!$E25+'Project Assumptions'!$C25&gt;='Plant Results'!AD$4,1,0)</f>
        <v>0</v>
      </c>
      <c r="AE39" s="28">
        <f>AE23*$B39*IF($B23&lt;AE$4,1,0)*IF('Project Assumptions'!$E25+'Project Assumptions'!$C25&gt;='Plant Results'!AE$4,1,0)</f>
        <v>0</v>
      </c>
      <c r="AF39" s="28">
        <f>AF23*$B39*IF($B23&lt;AF$4,1,0)*IF('Project Assumptions'!$E25+'Project Assumptions'!$C25&gt;='Plant Results'!AF$4,1,0)</f>
        <v>0</v>
      </c>
      <c r="AG39" s="28">
        <f>AG23*$B39*IF($B23&lt;AG$4,1,0)*IF('Project Assumptions'!$E25+'Project Assumptions'!$C25&gt;='Plant Results'!AG$4,1,0)</f>
        <v>0</v>
      </c>
      <c r="AH39" s="28">
        <f>AH23*$B39*IF($B23&lt;AH$4,1,0)*IF('Project Assumptions'!$E25+'Project Assumptions'!$C25&gt;='Plant Results'!AH$4,1,0)</f>
        <v>0</v>
      </c>
      <c r="AI39" s="28">
        <f>AI23*$B39*IF($B23&lt;AI$4,1,0)*IF('Project Assumptions'!$E25+'Project Assumptions'!$C25&gt;='Plant Results'!AI$4,1,0)</f>
        <v>0</v>
      </c>
      <c r="AJ39" s="28">
        <f>AJ23*$B39*IF($B23&lt;AJ$4,1,0)*IF('Project Assumptions'!$E25+'Project Assumptions'!$C25&gt;='Plant Results'!AJ$4,1,0)</f>
        <v>0</v>
      </c>
      <c r="AK39" s="28">
        <f>AK23*$B39*IF($B23&lt;AK$4,1,0)*IF('Project Assumptions'!$E25+'Project Assumptions'!$C25&gt;='Plant Results'!AK$4,1,0)</f>
        <v>0</v>
      </c>
      <c r="AL39" s="28">
        <f>AL23*$B39*IF($B23&lt;AL$4,1,0)*IF('Project Assumptions'!$E25+'Project Assumptions'!$C25&gt;='Plant Results'!AL$4,1,0)</f>
        <v>0</v>
      </c>
      <c r="AM39" s="28">
        <f>AM23*$B39*IF($B23&lt;AM$4,1,0)*IF('Project Assumptions'!$E25+'Project Assumptions'!$C25&gt;='Plant Results'!AM$4,1,0)</f>
        <v>0</v>
      </c>
      <c r="AN39" s="28">
        <f>AN23*$B39*IF($B23&lt;AN$4,1,0)*IF('Project Assumptions'!$E25+'Project Assumptions'!$C25&gt;='Plant Results'!AN$4,1,0)</f>
        <v>0</v>
      </c>
      <c r="AO39" s="28">
        <f>AO23*$B39*IF($B23&lt;AO$4,1,0)*IF('Project Assumptions'!$E25+'Project Assumptions'!$C25&gt;='Plant Results'!AO$4,1,0)</f>
        <v>0</v>
      </c>
      <c r="AP39" s="28">
        <f>AP23*$B39*IF($B23&lt;AP$4,1,0)*IF('Project Assumptions'!$E25+'Project Assumptions'!$C25&gt;='Plant Results'!AP$4,1,0)</f>
        <v>0</v>
      </c>
      <c r="AQ39" s="28">
        <f>AQ23*$B39*IF($B23&lt;AQ$4,1,0)*IF('Project Assumptions'!$E25+'Project Assumptions'!$C25&gt;='Plant Results'!AQ$4,1,0)</f>
        <v>0</v>
      </c>
      <c r="AR39" s="28">
        <f>AR23*$B39*IF($B23&lt;AR$4,1,0)*IF('Project Assumptions'!$E25+'Project Assumptions'!$C25&gt;='Plant Results'!AR$4,1,0)</f>
        <v>0</v>
      </c>
      <c r="AS39" s="28">
        <f>AS23*$B39*IF($B23&lt;AS$4,1,0)*IF('Project Assumptions'!$E25+'Project Assumptions'!$C25&gt;='Plant Results'!AS$4,1,0)</f>
        <v>0</v>
      </c>
      <c r="AT39" s="28">
        <f>AT23*$B39*IF($B23&lt;AT$4,1,0)*IF('Project Assumptions'!$E25+'Project Assumptions'!$C25&gt;='Plant Results'!AT$4,1,0)</f>
        <v>0</v>
      </c>
      <c r="AU39" s="28">
        <f>AU23*$B39*IF($B23&lt;AU$4,1,0)*IF('Project Assumptions'!$E25+'Project Assumptions'!$C25&gt;='Plant Results'!AU$4,1,0)</f>
        <v>0</v>
      </c>
      <c r="AV39" s="28">
        <f>AV23*$B39*IF($B23&lt;AV$4,1,0)*IF('Project Assumptions'!$E25+'Project Assumptions'!$C25&gt;='Plant Results'!AV$4,1,0)</f>
        <v>0</v>
      </c>
      <c r="AW39" s="28">
        <f>AW23*$B39*IF($B23&lt;AW$4,1,0)*IF('Project Assumptions'!$E25+'Project Assumptions'!$C25&gt;='Plant Results'!AW$4,1,0)</f>
        <v>0</v>
      </c>
      <c r="AX39" s="28">
        <f>AX23*$B39*IF($B23&lt;AX$4,1,0)*IF('Project Assumptions'!$E25+'Project Assumptions'!$C25&gt;='Plant Results'!AX$4,1,0)</f>
        <v>0</v>
      </c>
      <c r="AY39" s="28">
        <f>AY23*$B39*IF($B23&lt;AY$4,1,0)*IF('Project Assumptions'!$E25+'Project Assumptions'!$C25&gt;='Plant Results'!AY$4,1,0)</f>
        <v>0</v>
      </c>
      <c r="AZ39" s="28">
        <f>AZ23*$B39*IF($B23&lt;AZ$4,1,0)*IF('Project Assumptions'!$E25+'Project Assumptions'!$C25&gt;='Plant Results'!AZ$4,1,0)</f>
        <v>0</v>
      </c>
      <c r="BA39" s="28">
        <f>BA23*$B39*IF($B23&lt;BA$4,1,0)*IF('Project Assumptions'!$E25+'Project Assumptions'!$C25&gt;='Plant Results'!BA$4,1,0)</f>
        <v>0</v>
      </c>
      <c r="BB39" s="28">
        <f>BB23*$B39*IF($B23&lt;BB$4,1,0)*IF('Project Assumptions'!$E25+'Project Assumptions'!$C25&gt;='Plant Results'!BB$4,1,0)</f>
        <v>0</v>
      </c>
      <c r="BC39" s="28">
        <f>BC23*$B39*IF($B23&lt;BC$4,1,0)*IF('Project Assumptions'!$E25+'Project Assumptions'!$C25&gt;='Plant Results'!BC$4,1,0)</f>
        <v>0</v>
      </c>
      <c r="BD39" s="28">
        <f>BD23*$B39*IF($B23&lt;BD$4,1,0)*IF('Project Assumptions'!$E25+'Project Assumptions'!$C25&gt;='Plant Results'!BD$4,1,0)</f>
        <v>0</v>
      </c>
      <c r="BE39" s="28">
        <f>BE23*$B39*IF($B23&lt;BE$4,1,0)*IF('Project Assumptions'!$E25+'Project Assumptions'!$C25&gt;='Plant Results'!BE$4,1,0)</f>
        <v>0</v>
      </c>
      <c r="BF39" s="28">
        <f>BF23*$B39*IF($B23&lt;BF$4,1,0)*IF('Project Assumptions'!$E25+'Project Assumptions'!$C25&gt;='Plant Results'!BF$4,1,0)</f>
        <v>0</v>
      </c>
      <c r="BG39" s="28">
        <f>BG23*$B39*IF($B23&lt;BG$4,1,0)*IF('Project Assumptions'!$E25+'Project Assumptions'!$C25&gt;='Plant Results'!BG$4,1,0)</f>
        <v>0</v>
      </c>
      <c r="BH39" s="28">
        <f>BH23*$B39*IF($B23&lt;BH$4,1,0)*IF('Project Assumptions'!$E25+'Project Assumptions'!$C25&gt;='Plant Results'!BH$4,1,0)</f>
        <v>0</v>
      </c>
      <c r="BI39" s="28">
        <f>BI23*$B39*IF($B23&lt;BI$4,1,0)*IF('Project Assumptions'!$E25+'Project Assumptions'!$C25&gt;='Plant Results'!BI$4,1,0)</f>
        <v>0</v>
      </c>
      <c r="BJ39" s="28">
        <f>BJ23*$B39*IF($B23&lt;BJ$4,1,0)*IF('Project Assumptions'!$E25+'Project Assumptions'!$C25&gt;='Plant Results'!BJ$4,1,0)</f>
        <v>0</v>
      </c>
      <c r="BK39" s="28">
        <f>BK23*$B39*IF($B23&lt;BK$4,1,0)*IF('Project Assumptions'!$E25+'Project Assumptions'!$C25&gt;='Plant Results'!BK$4,1,0)</f>
        <v>0</v>
      </c>
      <c r="BL39" s="28">
        <f>SUM(C39:BK39)</f>
        <v>21331808.445791449</v>
      </c>
      <c r="BM39" s="259">
        <f t="shared" ref="BM39:BM45" si="71">BL39-BL57</f>
        <v>0</v>
      </c>
    </row>
    <row r="40" spans="1:65" ht="14.5" customHeight="1">
      <c r="A40" s="25" t="str">
        <f t="shared" si="70"/>
        <v>Capital Expenditure 2</v>
      </c>
      <c r="B40" s="35">
        <f>1/'Project Assumptions'!C26</f>
        <v>0.05</v>
      </c>
      <c r="C40" s="28">
        <f>C24*$B40*IF($B24&lt;C$4,1,0)*IF('Project Assumptions'!$E26+'Project Assumptions'!$C26&gt;='Plant Results'!C$4,1,0)</f>
        <v>0</v>
      </c>
      <c r="D40" s="28">
        <f>D24*$B40*IF($B24&lt;D$4,1,0)*IF('Project Assumptions'!$E26+'Project Assumptions'!$C26&gt;='Plant Results'!D$4,1,0)</f>
        <v>0</v>
      </c>
      <c r="E40" s="28">
        <f>E24*$B40*IF($B24&lt;E$4,1,0)*IF('Project Assumptions'!$E26+'Project Assumptions'!$C26&gt;='Plant Results'!E$4,1,0)</f>
        <v>0</v>
      </c>
      <c r="F40" s="28">
        <f>F24*$B40*IF($B24&lt;F$4,1,0)*IF('Project Assumptions'!$E26+'Project Assumptions'!$C26&gt;='Plant Results'!F$4,1,0)</f>
        <v>1742755.0450100042</v>
      </c>
      <c r="G40" s="28">
        <f>G24*$B40*IF($B24&lt;G$4,1,0)*IF('Project Assumptions'!$E26+'Project Assumptions'!$C26&gt;='Plant Results'!G$4,1,0)</f>
        <v>1742755.0450100042</v>
      </c>
      <c r="H40" s="28">
        <f>H24*$B40*IF($B24&lt;H$4,1,0)*IF('Project Assumptions'!$E26+'Project Assumptions'!$C26&gt;='Plant Results'!H$4,1,0)</f>
        <v>1742755.0450100042</v>
      </c>
      <c r="I40" s="28">
        <f>I24*$B40*IF($B24&lt;I$4,1,0)*IF('Project Assumptions'!$E26+'Project Assumptions'!$C26&gt;='Plant Results'!I$4,1,0)</f>
        <v>1742755.0450100042</v>
      </c>
      <c r="J40" s="28">
        <f>J24*$B40*IF($B24&lt;J$4,1,0)*IF('Project Assumptions'!$E26+'Project Assumptions'!$C26&gt;='Plant Results'!J$4,1,0)</f>
        <v>1742755.0450100042</v>
      </c>
      <c r="K40" s="28">
        <f>K24*$B40*IF($B24&lt;K$4,1,0)*IF('Project Assumptions'!$E26+'Project Assumptions'!$C26&gt;='Plant Results'!K$4,1,0)</f>
        <v>1742755.0450100042</v>
      </c>
      <c r="L40" s="28">
        <f>L24*$B40*IF($B24&lt;L$4,1,0)*IF('Project Assumptions'!$E26+'Project Assumptions'!$C26&gt;='Plant Results'!L$4,1,0)</f>
        <v>1742755.0450100042</v>
      </c>
      <c r="M40" s="28">
        <f>M24*$B40*IF($B24&lt;M$4,1,0)*IF('Project Assumptions'!$E26+'Project Assumptions'!$C26&gt;='Plant Results'!M$4,1,0)</f>
        <v>1742755.0450100042</v>
      </c>
      <c r="N40" s="28">
        <f>N24*$B40*IF($B24&lt;N$4,1,0)*IF('Project Assumptions'!$E26+'Project Assumptions'!$C26&gt;='Plant Results'!N$4,1,0)</f>
        <v>1742755.0450100042</v>
      </c>
      <c r="O40" s="28">
        <f>O24*$B40*IF($B24&lt;O$4,1,0)*IF('Project Assumptions'!$E26+'Project Assumptions'!$C26&gt;='Plant Results'!O$4,1,0)</f>
        <v>1742755.0450100042</v>
      </c>
      <c r="P40" s="28">
        <f>P24*$B40*IF($B24&lt;P$4,1,0)*IF('Project Assumptions'!$E26+'Project Assumptions'!$C26&gt;='Plant Results'!P$4,1,0)</f>
        <v>1742755.0450100042</v>
      </c>
      <c r="Q40" s="28">
        <f>Q24*$B40*IF($B24&lt;Q$4,1,0)*IF('Project Assumptions'!$E26+'Project Assumptions'!$C26&gt;='Plant Results'!Q$4,1,0)</f>
        <v>1742755.0450100042</v>
      </c>
      <c r="R40" s="28">
        <f>R24*$B40*IF($B24&lt;R$4,1,0)*IF('Project Assumptions'!$E26+'Project Assumptions'!$C26&gt;='Plant Results'!R$4,1,0)</f>
        <v>1742755.0450100042</v>
      </c>
      <c r="S40" s="28">
        <f>S24*$B40*IF($B24&lt;S$4,1,0)*IF('Project Assumptions'!$E26+'Project Assumptions'!$C26&gt;='Plant Results'!S$4,1,0)</f>
        <v>1742755.0450100042</v>
      </c>
      <c r="T40" s="28">
        <f>T24*$B40*IF($B24&lt;T$4,1,0)*IF('Project Assumptions'!$E26+'Project Assumptions'!$C26&gt;='Plant Results'!T$4,1,0)</f>
        <v>1742755.0450100042</v>
      </c>
      <c r="U40" s="28">
        <f>U24*$B40*IF($B24&lt;U$4,1,0)*IF('Project Assumptions'!$E26+'Project Assumptions'!$C26&gt;='Plant Results'!U$4,1,0)</f>
        <v>1742755.0450100042</v>
      </c>
      <c r="V40" s="28">
        <f>V24*$B40*IF($B24&lt;V$4,1,0)*IF('Project Assumptions'!$E26+'Project Assumptions'!$C26&gt;='Plant Results'!V$4,1,0)</f>
        <v>1742755.0450100042</v>
      </c>
      <c r="W40" s="28">
        <f>W24*$B40*IF($B24&lt;W$4,1,0)*IF('Project Assumptions'!$E26+'Project Assumptions'!$C26&gt;='Plant Results'!W$4,1,0)</f>
        <v>1742755.0450100042</v>
      </c>
      <c r="X40" s="28">
        <f>X24*$B40*IF($B24&lt;X$4,1,0)*IF('Project Assumptions'!$E26+'Project Assumptions'!$C26&gt;='Plant Results'!X$4,1,0)</f>
        <v>1742755.0450100042</v>
      </c>
      <c r="Y40" s="28">
        <f>Y24*$B40*IF($B24&lt;Y$4,1,0)*IF('Project Assumptions'!$E26+'Project Assumptions'!$C26&gt;='Plant Results'!Y$4,1,0)</f>
        <v>1742755.0450100042</v>
      </c>
      <c r="Z40" s="28">
        <f>Z24*$B40*IF($B24&lt;Z$4,1,0)*IF('Project Assumptions'!$E26+'Project Assumptions'!$C26&gt;='Plant Results'!Z$4,1,0)</f>
        <v>0</v>
      </c>
      <c r="AA40" s="28">
        <f>AA24*$B40*IF($B24&lt;AA$4,1,0)*IF('Project Assumptions'!$E26+'Project Assumptions'!$C26&gt;='Plant Results'!AA$4,1,0)</f>
        <v>0</v>
      </c>
      <c r="AB40" s="28">
        <f>AB24*$B40*IF($B24&lt;AB$4,1,0)*IF('Project Assumptions'!$E26+'Project Assumptions'!$C26&gt;='Plant Results'!AB$4,1,0)</f>
        <v>0</v>
      </c>
      <c r="AC40" s="28">
        <f>AC24*$B40*IF($B24&lt;AC$4,1,0)*IF('Project Assumptions'!$E26+'Project Assumptions'!$C26&gt;='Plant Results'!AC$4,1,0)</f>
        <v>0</v>
      </c>
      <c r="AD40" s="28">
        <f>AD24*$B40*IF($B24&lt;AD$4,1,0)*IF('Project Assumptions'!$E26+'Project Assumptions'!$C26&gt;='Plant Results'!AD$4,1,0)</f>
        <v>0</v>
      </c>
      <c r="AE40" s="28">
        <f>AE24*$B40*IF($B24&lt;AE$4,1,0)*IF('Project Assumptions'!$E26+'Project Assumptions'!$C26&gt;='Plant Results'!AE$4,1,0)</f>
        <v>0</v>
      </c>
      <c r="AF40" s="28">
        <f>AF24*$B40*IF($B24&lt;AF$4,1,0)*IF('Project Assumptions'!$E26+'Project Assumptions'!$C26&gt;='Plant Results'!AF$4,1,0)</f>
        <v>0</v>
      </c>
      <c r="AG40" s="28">
        <f>AG24*$B40*IF($B24&lt;AG$4,1,0)*IF('Project Assumptions'!$E26+'Project Assumptions'!$C26&gt;='Plant Results'!AG$4,1,0)</f>
        <v>0</v>
      </c>
      <c r="AH40" s="28">
        <f>AH24*$B40*IF($B24&lt;AH$4,1,0)*IF('Project Assumptions'!$E26+'Project Assumptions'!$C26&gt;='Plant Results'!AH$4,1,0)</f>
        <v>0</v>
      </c>
      <c r="AI40" s="28">
        <f>AI24*$B40*IF($B24&lt;AI$4,1,0)*IF('Project Assumptions'!$E26+'Project Assumptions'!$C26&gt;='Plant Results'!AI$4,1,0)</f>
        <v>0</v>
      </c>
      <c r="AJ40" s="28">
        <f>AJ24*$B40*IF($B24&lt;AJ$4,1,0)*IF('Project Assumptions'!$E26+'Project Assumptions'!$C26&gt;='Plant Results'!AJ$4,1,0)</f>
        <v>0</v>
      </c>
      <c r="AK40" s="28">
        <f>AK24*$B40*IF($B24&lt;AK$4,1,0)*IF('Project Assumptions'!$E26+'Project Assumptions'!$C26&gt;='Plant Results'!AK$4,1,0)</f>
        <v>0</v>
      </c>
      <c r="AL40" s="28">
        <f>AL24*$B40*IF($B24&lt;AL$4,1,0)*IF('Project Assumptions'!$E26+'Project Assumptions'!$C26&gt;='Plant Results'!AL$4,1,0)</f>
        <v>0</v>
      </c>
      <c r="AM40" s="28">
        <f>AM24*$B40*IF($B24&lt;AM$4,1,0)*IF('Project Assumptions'!$E26+'Project Assumptions'!$C26&gt;='Plant Results'!AM$4,1,0)</f>
        <v>0</v>
      </c>
      <c r="AN40" s="28">
        <f>AN24*$B40*IF($B24&lt;AN$4,1,0)*IF('Project Assumptions'!$E26+'Project Assumptions'!$C26&gt;='Plant Results'!AN$4,1,0)</f>
        <v>0</v>
      </c>
      <c r="AO40" s="28">
        <f>AO24*$B40*IF($B24&lt;AO$4,1,0)*IF('Project Assumptions'!$E26+'Project Assumptions'!$C26&gt;='Plant Results'!AO$4,1,0)</f>
        <v>0</v>
      </c>
      <c r="AP40" s="28">
        <f>AP24*$B40*IF($B24&lt;AP$4,1,0)*IF('Project Assumptions'!$E26+'Project Assumptions'!$C26&gt;='Plant Results'!AP$4,1,0)</f>
        <v>0</v>
      </c>
      <c r="AQ40" s="28">
        <f>AQ24*$B40*IF($B24&lt;AQ$4,1,0)*IF('Project Assumptions'!$E26+'Project Assumptions'!$C26&gt;='Plant Results'!AQ$4,1,0)</f>
        <v>0</v>
      </c>
      <c r="AR40" s="28">
        <f>AR24*$B40*IF($B24&lt;AR$4,1,0)*IF('Project Assumptions'!$E26+'Project Assumptions'!$C26&gt;='Plant Results'!AR$4,1,0)</f>
        <v>0</v>
      </c>
      <c r="AS40" s="28">
        <f>AS24*$B40*IF($B24&lt;AS$4,1,0)*IF('Project Assumptions'!$E26+'Project Assumptions'!$C26&gt;='Plant Results'!AS$4,1,0)</f>
        <v>0</v>
      </c>
      <c r="AT40" s="28">
        <f>AT24*$B40*IF($B24&lt;AT$4,1,0)*IF('Project Assumptions'!$E26+'Project Assumptions'!$C26&gt;='Plant Results'!AT$4,1,0)</f>
        <v>0</v>
      </c>
      <c r="AU40" s="28">
        <f>AU24*$B40*IF($B24&lt;AU$4,1,0)*IF('Project Assumptions'!$E26+'Project Assumptions'!$C26&gt;='Plant Results'!AU$4,1,0)</f>
        <v>0</v>
      </c>
      <c r="AV40" s="28">
        <f>AV24*$B40*IF($B24&lt;AV$4,1,0)*IF('Project Assumptions'!$E26+'Project Assumptions'!$C26&gt;='Plant Results'!AV$4,1,0)</f>
        <v>0</v>
      </c>
      <c r="AW40" s="28">
        <f>AW24*$B40*IF($B24&lt;AW$4,1,0)*IF('Project Assumptions'!$E26+'Project Assumptions'!$C26&gt;='Plant Results'!AW$4,1,0)</f>
        <v>0</v>
      </c>
      <c r="AX40" s="28">
        <f>AX24*$B40*IF($B24&lt;AX$4,1,0)*IF('Project Assumptions'!$E26+'Project Assumptions'!$C26&gt;='Plant Results'!AX$4,1,0)</f>
        <v>0</v>
      </c>
      <c r="AY40" s="28">
        <f>AY24*$B40*IF($B24&lt;AY$4,1,0)*IF('Project Assumptions'!$E26+'Project Assumptions'!$C26&gt;='Plant Results'!AY$4,1,0)</f>
        <v>0</v>
      </c>
      <c r="AZ40" s="28">
        <f>AZ24*$B40*IF($B24&lt;AZ$4,1,0)*IF('Project Assumptions'!$E26+'Project Assumptions'!$C26&gt;='Plant Results'!AZ$4,1,0)</f>
        <v>0</v>
      </c>
      <c r="BA40" s="28">
        <f>BA24*$B40*IF($B24&lt;BA$4,1,0)*IF('Project Assumptions'!$E26+'Project Assumptions'!$C26&gt;='Plant Results'!BA$4,1,0)</f>
        <v>0</v>
      </c>
      <c r="BB40" s="28">
        <f>BB24*$B40*IF($B24&lt;BB$4,1,0)*IF('Project Assumptions'!$E26+'Project Assumptions'!$C26&gt;='Plant Results'!BB$4,1,0)</f>
        <v>0</v>
      </c>
      <c r="BC40" s="28">
        <f>BC24*$B40*IF($B24&lt;BC$4,1,0)*IF('Project Assumptions'!$E26+'Project Assumptions'!$C26&gt;='Plant Results'!BC$4,1,0)</f>
        <v>0</v>
      </c>
      <c r="BD40" s="28">
        <f>BD24*$B40*IF($B24&lt;BD$4,1,0)*IF('Project Assumptions'!$E26+'Project Assumptions'!$C26&gt;='Plant Results'!BD$4,1,0)</f>
        <v>0</v>
      </c>
      <c r="BE40" s="28">
        <f>BE24*$B40*IF($B24&lt;BE$4,1,0)*IF('Project Assumptions'!$E26+'Project Assumptions'!$C26&gt;='Plant Results'!BE$4,1,0)</f>
        <v>0</v>
      </c>
      <c r="BF40" s="28">
        <f>BF24*$B40*IF($B24&lt;BF$4,1,0)*IF('Project Assumptions'!$E26+'Project Assumptions'!$C26&gt;='Plant Results'!BF$4,1,0)</f>
        <v>0</v>
      </c>
      <c r="BG40" s="28">
        <f>BG24*$B40*IF($B24&lt;BG$4,1,0)*IF('Project Assumptions'!$E26+'Project Assumptions'!$C26&gt;='Plant Results'!BG$4,1,0)</f>
        <v>0</v>
      </c>
      <c r="BH40" s="28">
        <f>BH24*$B40*IF($B24&lt;BH$4,1,0)*IF('Project Assumptions'!$E26+'Project Assumptions'!$C26&gt;='Plant Results'!BH$4,1,0)</f>
        <v>0</v>
      </c>
      <c r="BI40" s="28">
        <f>BI24*$B40*IF($B24&lt;BI$4,1,0)*IF('Project Assumptions'!$E26+'Project Assumptions'!$C26&gt;='Plant Results'!BI$4,1,0)</f>
        <v>0</v>
      </c>
      <c r="BJ40" s="28">
        <f>BJ24*$B40*IF($B24&lt;BJ$4,1,0)*IF('Project Assumptions'!$E26+'Project Assumptions'!$C26&gt;='Plant Results'!BJ$4,1,0)</f>
        <v>0</v>
      </c>
      <c r="BK40" s="28">
        <f>BK24*$B40*IF($B24&lt;BK$4,1,0)*IF('Project Assumptions'!$E26+'Project Assumptions'!$C26&gt;='Plant Results'!BK$4,1,0)</f>
        <v>0</v>
      </c>
      <c r="BL40" s="28">
        <f t="shared" ref="BL40:BL50" si="72">SUM(C40:BK40)</f>
        <v>34855100.900200084</v>
      </c>
      <c r="BM40" s="259">
        <f t="shared" si="71"/>
        <v>0</v>
      </c>
    </row>
    <row r="41" spans="1:65" ht="14.5" customHeight="1">
      <c r="A41" s="25" t="str">
        <f t="shared" si="70"/>
        <v>Capital Expenditure 3</v>
      </c>
      <c r="B41" s="35">
        <f>1/'Project Assumptions'!C27</f>
        <v>0.05</v>
      </c>
      <c r="C41" s="28">
        <f>C25*$B41*IF($B25&lt;C$4,1,0)*IF('Project Assumptions'!$E27+'Project Assumptions'!$C27&gt;='Plant Results'!C$4,1,0)</f>
        <v>0</v>
      </c>
      <c r="D41" s="28">
        <f>D25*$B41*IF($B25&lt;D$4,1,0)*IF('Project Assumptions'!$E27+'Project Assumptions'!$C27&gt;='Plant Results'!D$4,1,0)</f>
        <v>0</v>
      </c>
      <c r="E41" s="28">
        <f>E25*$B41*IF($B25&lt;E$4,1,0)*IF('Project Assumptions'!$E27+'Project Assumptions'!$C27&gt;='Plant Results'!E$4,1,0)</f>
        <v>0</v>
      </c>
      <c r="F41" s="28">
        <f>F25*$B41*IF($B25&lt;F$4,1,0)*IF('Project Assumptions'!$E27+'Project Assumptions'!$C27&gt;='Plant Results'!F$4,1,0)</f>
        <v>0</v>
      </c>
      <c r="G41" s="28">
        <f>G25*$B41*IF($B25&lt;G$4,1,0)*IF('Project Assumptions'!$E27+'Project Assumptions'!$C27&gt;='Plant Results'!G$4,1,0)</f>
        <v>4133202.6150101307</v>
      </c>
      <c r="H41" s="28">
        <f>H25*$B41*IF($B25&lt;H$4,1,0)*IF('Project Assumptions'!$E27+'Project Assumptions'!$C27&gt;='Plant Results'!H$4,1,0)</f>
        <v>4133202.6150101307</v>
      </c>
      <c r="I41" s="28">
        <f>I25*$B41*IF($B25&lt;I$4,1,0)*IF('Project Assumptions'!$E27+'Project Assumptions'!$C27&gt;='Plant Results'!I$4,1,0)</f>
        <v>4133202.6150101307</v>
      </c>
      <c r="J41" s="28">
        <f>J25*$B41*IF($B25&lt;J$4,1,0)*IF('Project Assumptions'!$E27+'Project Assumptions'!$C27&gt;='Plant Results'!J$4,1,0)</f>
        <v>4133202.6150101307</v>
      </c>
      <c r="K41" s="28">
        <f>K25*$B41*IF($B25&lt;K$4,1,0)*IF('Project Assumptions'!$E27+'Project Assumptions'!$C27&gt;='Plant Results'!K$4,1,0)</f>
        <v>4133202.6150101307</v>
      </c>
      <c r="L41" s="28">
        <f>L25*$B41*IF($B25&lt;L$4,1,0)*IF('Project Assumptions'!$E27+'Project Assumptions'!$C27&gt;='Plant Results'!L$4,1,0)</f>
        <v>4133202.6150101307</v>
      </c>
      <c r="M41" s="28">
        <f>M25*$B41*IF($B25&lt;M$4,1,0)*IF('Project Assumptions'!$E27+'Project Assumptions'!$C27&gt;='Plant Results'!M$4,1,0)</f>
        <v>4133202.6150101307</v>
      </c>
      <c r="N41" s="28">
        <f>N25*$B41*IF($B25&lt;N$4,1,0)*IF('Project Assumptions'!$E27+'Project Assumptions'!$C27&gt;='Plant Results'!N$4,1,0)</f>
        <v>4133202.6150101307</v>
      </c>
      <c r="O41" s="28">
        <f>O25*$B41*IF($B25&lt;O$4,1,0)*IF('Project Assumptions'!$E27+'Project Assumptions'!$C27&gt;='Plant Results'!O$4,1,0)</f>
        <v>4133202.6150101307</v>
      </c>
      <c r="P41" s="28">
        <f>P25*$B41*IF($B25&lt;P$4,1,0)*IF('Project Assumptions'!$E27+'Project Assumptions'!$C27&gt;='Plant Results'!P$4,1,0)</f>
        <v>4133202.6150101307</v>
      </c>
      <c r="Q41" s="28">
        <f>Q25*$B41*IF($B25&lt;Q$4,1,0)*IF('Project Assumptions'!$E27+'Project Assumptions'!$C27&gt;='Plant Results'!Q$4,1,0)</f>
        <v>4133202.6150101307</v>
      </c>
      <c r="R41" s="28">
        <f>R25*$B41*IF($B25&lt;R$4,1,0)*IF('Project Assumptions'!$E27+'Project Assumptions'!$C27&gt;='Plant Results'!R$4,1,0)</f>
        <v>4133202.6150101307</v>
      </c>
      <c r="S41" s="28">
        <f>S25*$B41*IF($B25&lt;S$4,1,0)*IF('Project Assumptions'!$E27+'Project Assumptions'!$C27&gt;='Plant Results'!S$4,1,0)</f>
        <v>4133202.6150101307</v>
      </c>
      <c r="T41" s="28">
        <f>T25*$B41*IF($B25&lt;T$4,1,0)*IF('Project Assumptions'!$E27+'Project Assumptions'!$C27&gt;='Plant Results'!T$4,1,0)</f>
        <v>4133202.6150101307</v>
      </c>
      <c r="U41" s="28">
        <f>U25*$B41*IF($B25&lt;U$4,1,0)*IF('Project Assumptions'!$E27+'Project Assumptions'!$C27&gt;='Plant Results'!U$4,1,0)</f>
        <v>4133202.6150101307</v>
      </c>
      <c r="V41" s="28">
        <f>V25*$B41*IF($B25&lt;V$4,1,0)*IF('Project Assumptions'!$E27+'Project Assumptions'!$C27&gt;='Plant Results'!V$4,1,0)</f>
        <v>4133202.6150101307</v>
      </c>
      <c r="W41" s="28">
        <f>W25*$B41*IF($B25&lt;W$4,1,0)*IF('Project Assumptions'!$E27+'Project Assumptions'!$C27&gt;='Plant Results'!W$4,1,0)</f>
        <v>4133202.6150101307</v>
      </c>
      <c r="X41" s="28">
        <f>X25*$B41*IF($B25&lt;X$4,1,0)*IF('Project Assumptions'!$E27+'Project Assumptions'!$C27&gt;='Plant Results'!X$4,1,0)</f>
        <v>4133202.6150101307</v>
      </c>
      <c r="Y41" s="28">
        <f>Y25*$B41*IF($B25&lt;Y$4,1,0)*IF('Project Assumptions'!$E27+'Project Assumptions'!$C27&gt;='Plant Results'!Y$4,1,0)</f>
        <v>4133202.6150101307</v>
      </c>
      <c r="Z41" s="28">
        <f>Z25*$B41*IF($B25&lt;Z$4,1,0)*IF('Project Assumptions'!$E27+'Project Assumptions'!$C27&gt;='Plant Results'!Z$4,1,0)</f>
        <v>4133202.6150101307</v>
      </c>
      <c r="AA41" s="28">
        <f>AA25*$B41*IF($B25&lt;AA$4,1,0)*IF('Project Assumptions'!$E27+'Project Assumptions'!$C27&gt;='Plant Results'!AA$4,1,0)</f>
        <v>0</v>
      </c>
      <c r="AB41" s="28">
        <f>AB25*$B41*IF($B25&lt;AB$4,1,0)*IF('Project Assumptions'!$E27+'Project Assumptions'!$C27&gt;='Plant Results'!AB$4,1,0)</f>
        <v>0</v>
      </c>
      <c r="AC41" s="28">
        <f>AC25*$B41*IF($B25&lt;AC$4,1,0)*IF('Project Assumptions'!$E27+'Project Assumptions'!$C27&gt;='Plant Results'!AC$4,1,0)</f>
        <v>0</v>
      </c>
      <c r="AD41" s="28">
        <f>AD25*$B41*IF($B25&lt;AD$4,1,0)*IF('Project Assumptions'!$E27+'Project Assumptions'!$C27&gt;='Plant Results'!AD$4,1,0)</f>
        <v>0</v>
      </c>
      <c r="AE41" s="28">
        <f>AE25*$B41*IF($B25&lt;AE$4,1,0)*IF('Project Assumptions'!$E27+'Project Assumptions'!$C27&gt;='Plant Results'!AE$4,1,0)</f>
        <v>0</v>
      </c>
      <c r="AF41" s="28">
        <f>AF25*$B41*IF($B25&lt;AF$4,1,0)*IF('Project Assumptions'!$E27+'Project Assumptions'!$C27&gt;='Plant Results'!AF$4,1,0)</f>
        <v>0</v>
      </c>
      <c r="AG41" s="28">
        <f>AG25*$B41*IF($B25&lt;AG$4,1,0)*IF('Project Assumptions'!$E27+'Project Assumptions'!$C27&gt;='Plant Results'!AG$4,1,0)</f>
        <v>0</v>
      </c>
      <c r="AH41" s="28">
        <f>AH25*$B41*IF($B25&lt;AH$4,1,0)*IF('Project Assumptions'!$E27+'Project Assumptions'!$C27&gt;='Plant Results'!AH$4,1,0)</f>
        <v>0</v>
      </c>
      <c r="AI41" s="28">
        <f>AI25*$B41*IF($B25&lt;AI$4,1,0)*IF('Project Assumptions'!$E27+'Project Assumptions'!$C27&gt;='Plant Results'!AI$4,1,0)</f>
        <v>0</v>
      </c>
      <c r="AJ41" s="28">
        <f>AJ25*$B41*IF($B25&lt;AJ$4,1,0)*IF('Project Assumptions'!$E27+'Project Assumptions'!$C27&gt;='Plant Results'!AJ$4,1,0)</f>
        <v>0</v>
      </c>
      <c r="AK41" s="28">
        <f>AK25*$B41*IF($B25&lt;AK$4,1,0)*IF('Project Assumptions'!$E27+'Project Assumptions'!$C27&gt;='Plant Results'!AK$4,1,0)</f>
        <v>0</v>
      </c>
      <c r="AL41" s="28">
        <f>AL25*$B41*IF($B25&lt;AL$4,1,0)*IF('Project Assumptions'!$E27+'Project Assumptions'!$C27&gt;='Plant Results'!AL$4,1,0)</f>
        <v>0</v>
      </c>
      <c r="AM41" s="28">
        <f>AM25*$B41*IF($B25&lt;AM$4,1,0)*IF('Project Assumptions'!$E27+'Project Assumptions'!$C27&gt;='Plant Results'!AM$4,1,0)</f>
        <v>0</v>
      </c>
      <c r="AN41" s="28">
        <f>AN25*$B41*IF($B25&lt;AN$4,1,0)*IF('Project Assumptions'!$E27+'Project Assumptions'!$C27&gt;='Plant Results'!AN$4,1,0)</f>
        <v>0</v>
      </c>
      <c r="AO41" s="28">
        <f>AO25*$B41*IF($B25&lt;AO$4,1,0)*IF('Project Assumptions'!$E27+'Project Assumptions'!$C27&gt;='Plant Results'!AO$4,1,0)</f>
        <v>0</v>
      </c>
      <c r="AP41" s="28">
        <f>AP25*$B41*IF($B25&lt;AP$4,1,0)*IF('Project Assumptions'!$E27+'Project Assumptions'!$C27&gt;='Plant Results'!AP$4,1,0)</f>
        <v>0</v>
      </c>
      <c r="AQ41" s="28">
        <f>AQ25*$B41*IF($B25&lt;AQ$4,1,0)*IF('Project Assumptions'!$E27+'Project Assumptions'!$C27&gt;='Plant Results'!AQ$4,1,0)</f>
        <v>0</v>
      </c>
      <c r="AR41" s="28">
        <f>AR25*$B41*IF($B25&lt;AR$4,1,0)*IF('Project Assumptions'!$E27+'Project Assumptions'!$C27&gt;='Plant Results'!AR$4,1,0)</f>
        <v>0</v>
      </c>
      <c r="AS41" s="28">
        <f>AS25*$B41*IF($B25&lt;AS$4,1,0)*IF('Project Assumptions'!$E27+'Project Assumptions'!$C27&gt;='Plant Results'!AS$4,1,0)</f>
        <v>0</v>
      </c>
      <c r="AT41" s="28">
        <f>AT25*$B41*IF($B25&lt;AT$4,1,0)*IF('Project Assumptions'!$E27+'Project Assumptions'!$C27&gt;='Plant Results'!AT$4,1,0)</f>
        <v>0</v>
      </c>
      <c r="AU41" s="28">
        <f>AU25*$B41*IF($B25&lt;AU$4,1,0)*IF('Project Assumptions'!$E27+'Project Assumptions'!$C27&gt;='Plant Results'!AU$4,1,0)</f>
        <v>0</v>
      </c>
      <c r="AV41" s="28">
        <f>AV25*$B41*IF($B25&lt;AV$4,1,0)*IF('Project Assumptions'!$E27+'Project Assumptions'!$C27&gt;='Plant Results'!AV$4,1,0)</f>
        <v>0</v>
      </c>
      <c r="AW41" s="28">
        <f>AW25*$B41*IF($B25&lt;AW$4,1,0)*IF('Project Assumptions'!$E27+'Project Assumptions'!$C27&gt;='Plant Results'!AW$4,1,0)</f>
        <v>0</v>
      </c>
      <c r="AX41" s="28">
        <f>AX25*$B41*IF($B25&lt;AX$4,1,0)*IF('Project Assumptions'!$E27+'Project Assumptions'!$C27&gt;='Plant Results'!AX$4,1,0)</f>
        <v>0</v>
      </c>
      <c r="AY41" s="28">
        <f>AY25*$B41*IF($B25&lt;AY$4,1,0)*IF('Project Assumptions'!$E27+'Project Assumptions'!$C27&gt;='Plant Results'!AY$4,1,0)</f>
        <v>0</v>
      </c>
      <c r="AZ41" s="28">
        <f>AZ25*$B41*IF($B25&lt;AZ$4,1,0)*IF('Project Assumptions'!$E27+'Project Assumptions'!$C27&gt;='Plant Results'!AZ$4,1,0)</f>
        <v>0</v>
      </c>
      <c r="BA41" s="28">
        <f>BA25*$B41*IF($B25&lt;BA$4,1,0)*IF('Project Assumptions'!$E27+'Project Assumptions'!$C27&gt;='Plant Results'!BA$4,1,0)</f>
        <v>0</v>
      </c>
      <c r="BB41" s="28">
        <f>BB25*$B41*IF($B25&lt;BB$4,1,0)*IF('Project Assumptions'!$E27+'Project Assumptions'!$C27&gt;='Plant Results'!BB$4,1,0)</f>
        <v>0</v>
      </c>
      <c r="BC41" s="28">
        <f>BC25*$B41*IF($B25&lt;BC$4,1,0)*IF('Project Assumptions'!$E27+'Project Assumptions'!$C27&gt;='Plant Results'!BC$4,1,0)</f>
        <v>0</v>
      </c>
      <c r="BD41" s="28">
        <f>BD25*$B41*IF($B25&lt;BD$4,1,0)*IF('Project Assumptions'!$E27+'Project Assumptions'!$C27&gt;='Plant Results'!BD$4,1,0)</f>
        <v>0</v>
      </c>
      <c r="BE41" s="28">
        <f>BE25*$B41*IF($B25&lt;BE$4,1,0)*IF('Project Assumptions'!$E27+'Project Assumptions'!$C27&gt;='Plant Results'!BE$4,1,0)</f>
        <v>0</v>
      </c>
      <c r="BF41" s="28">
        <f>BF25*$B41*IF($B25&lt;BF$4,1,0)*IF('Project Assumptions'!$E27+'Project Assumptions'!$C27&gt;='Plant Results'!BF$4,1,0)</f>
        <v>0</v>
      </c>
      <c r="BG41" s="28">
        <f>BG25*$B41*IF($B25&lt;BG$4,1,0)*IF('Project Assumptions'!$E27+'Project Assumptions'!$C27&gt;='Plant Results'!BG$4,1,0)</f>
        <v>0</v>
      </c>
      <c r="BH41" s="28">
        <f>BH25*$B41*IF($B25&lt;BH$4,1,0)*IF('Project Assumptions'!$E27+'Project Assumptions'!$C27&gt;='Plant Results'!BH$4,1,0)</f>
        <v>0</v>
      </c>
      <c r="BI41" s="28">
        <f>BI25*$B41*IF($B25&lt;BI$4,1,0)*IF('Project Assumptions'!$E27+'Project Assumptions'!$C27&gt;='Plant Results'!BI$4,1,0)</f>
        <v>0</v>
      </c>
      <c r="BJ41" s="28">
        <f>BJ25*$B41*IF($B25&lt;BJ$4,1,0)*IF('Project Assumptions'!$E27+'Project Assumptions'!$C27&gt;='Plant Results'!BJ$4,1,0)</f>
        <v>0</v>
      </c>
      <c r="BK41" s="28">
        <f>BK25*$B41*IF($B25&lt;BK$4,1,0)*IF('Project Assumptions'!$E27+'Project Assumptions'!$C27&gt;='Plant Results'!BK$4,1,0)</f>
        <v>0</v>
      </c>
      <c r="BL41" s="28">
        <f t="shared" si="72"/>
        <v>82664052.300202578</v>
      </c>
      <c r="BM41" s="259">
        <f t="shared" si="71"/>
        <v>0</v>
      </c>
    </row>
    <row r="42" spans="1:65" ht="14.5" customHeight="1">
      <c r="A42" s="25" t="str">
        <f t="shared" si="70"/>
        <v xml:space="preserve">Capital Expenditure 4 </v>
      </c>
      <c r="B42" s="35">
        <f>1/'Project Assumptions'!C28</f>
        <v>0.05</v>
      </c>
      <c r="C42" s="28">
        <f>C26*$B42*IF($B26&lt;C$4,1,0)*IF('Project Assumptions'!$E28+'Project Assumptions'!$C28&gt;='Plant Results'!C$4,1,0)</f>
        <v>0</v>
      </c>
      <c r="D42" s="28">
        <f>D26*$B42*IF($B26&lt;D$4,1,0)*IF('Project Assumptions'!$E28+'Project Assumptions'!$C28&gt;='Plant Results'!D$4,1,0)</f>
        <v>0</v>
      </c>
      <c r="E42" s="28">
        <f>E26*$B42*IF($B26&lt;E$4,1,0)*IF('Project Assumptions'!$E28+'Project Assumptions'!$C28&gt;='Plant Results'!E$4,1,0)</f>
        <v>0</v>
      </c>
      <c r="F42" s="28">
        <f>F26*$B42*IF($B26&lt;F$4,1,0)*IF('Project Assumptions'!$E28+'Project Assumptions'!$C28&gt;='Plant Results'!F$4,1,0)</f>
        <v>0</v>
      </c>
      <c r="G42" s="28">
        <f>G26*$B42*IF($B26&lt;G$4,1,0)*IF('Project Assumptions'!$E28+'Project Assumptions'!$C28&gt;='Plant Results'!G$4,1,0)</f>
        <v>0</v>
      </c>
      <c r="H42" s="28">
        <f>H26*$B42*IF($B26&lt;H$4,1,0)*IF('Project Assumptions'!$E28+'Project Assumptions'!$C28&gt;='Plant Results'!H$4,1,0)</f>
        <v>3424967.0228691753</v>
      </c>
      <c r="I42" s="28">
        <f>I26*$B42*IF($B26&lt;I$4,1,0)*IF('Project Assumptions'!$E28+'Project Assumptions'!$C28&gt;='Plant Results'!I$4,1,0)</f>
        <v>3424967.0228691753</v>
      </c>
      <c r="J42" s="28">
        <f>J26*$B42*IF($B26&lt;J$4,1,0)*IF('Project Assumptions'!$E28+'Project Assumptions'!$C28&gt;='Plant Results'!J$4,1,0)</f>
        <v>3424967.0228691753</v>
      </c>
      <c r="K42" s="28">
        <f>K26*$B42*IF($B26&lt;K$4,1,0)*IF('Project Assumptions'!$E28+'Project Assumptions'!$C28&gt;='Plant Results'!K$4,1,0)</f>
        <v>3424967.0228691753</v>
      </c>
      <c r="L42" s="28">
        <f>L26*$B42*IF($B26&lt;L$4,1,0)*IF('Project Assumptions'!$E28+'Project Assumptions'!$C28&gt;='Plant Results'!L$4,1,0)</f>
        <v>3424967.0228691753</v>
      </c>
      <c r="M42" s="28">
        <f>M26*$B42*IF($B26&lt;M$4,1,0)*IF('Project Assumptions'!$E28+'Project Assumptions'!$C28&gt;='Plant Results'!M$4,1,0)</f>
        <v>3424967.0228691753</v>
      </c>
      <c r="N42" s="28">
        <f>N26*$B42*IF($B26&lt;N$4,1,0)*IF('Project Assumptions'!$E28+'Project Assumptions'!$C28&gt;='Plant Results'!N$4,1,0)</f>
        <v>3424967.0228691753</v>
      </c>
      <c r="O42" s="28">
        <f>O26*$B42*IF($B26&lt;O$4,1,0)*IF('Project Assumptions'!$E28+'Project Assumptions'!$C28&gt;='Plant Results'!O$4,1,0)</f>
        <v>3424967.0228691753</v>
      </c>
      <c r="P42" s="28">
        <f>P26*$B42*IF($B26&lt;P$4,1,0)*IF('Project Assumptions'!$E28+'Project Assumptions'!$C28&gt;='Plant Results'!P$4,1,0)</f>
        <v>3424967.0228691753</v>
      </c>
      <c r="Q42" s="28">
        <f>Q26*$B42*IF($B26&lt;Q$4,1,0)*IF('Project Assumptions'!$E28+'Project Assumptions'!$C28&gt;='Plant Results'!Q$4,1,0)</f>
        <v>3424967.0228691753</v>
      </c>
      <c r="R42" s="28">
        <f>R26*$B42*IF($B26&lt;R$4,1,0)*IF('Project Assumptions'!$E28+'Project Assumptions'!$C28&gt;='Plant Results'!R$4,1,0)</f>
        <v>3424967.0228691753</v>
      </c>
      <c r="S42" s="28">
        <f>S26*$B42*IF($B26&lt;S$4,1,0)*IF('Project Assumptions'!$E28+'Project Assumptions'!$C28&gt;='Plant Results'!S$4,1,0)</f>
        <v>3424967.0228691753</v>
      </c>
      <c r="T42" s="28">
        <f>T26*$B42*IF($B26&lt;T$4,1,0)*IF('Project Assumptions'!$E28+'Project Assumptions'!$C28&gt;='Plant Results'!T$4,1,0)</f>
        <v>3424967.0228691753</v>
      </c>
      <c r="U42" s="28">
        <f>U26*$B42*IF($B26&lt;U$4,1,0)*IF('Project Assumptions'!$E28+'Project Assumptions'!$C28&gt;='Plant Results'!U$4,1,0)</f>
        <v>3424967.0228691753</v>
      </c>
      <c r="V42" s="28">
        <f>V26*$B42*IF($B26&lt;V$4,1,0)*IF('Project Assumptions'!$E28+'Project Assumptions'!$C28&gt;='Plant Results'!V$4,1,0)</f>
        <v>3424967.0228691753</v>
      </c>
      <c r="W42" s="28">
        <f>W26*$B42*IF($B26&lt;W$4,1,0)*IF('Project Assumptions'!$E28+'Project Assumptions'!$C28&gt;='Plant Results'!W$4,1,0)</f>
        <v>3424967.0228691753</v>
      </c>
      <c r="X42" s="28">
        <f>X26*$B42*IF($B26&lt;X$4,1,0)*IF('Project Assumptions'!$E28+'Project Assumptions'!$C28&gt;='Plant Results'!X$4,1,0)</f>
        <v>3424967.0228691753</v>
      </c>
      <c r="Y42" s="28">
        <f>Y26*$B42*IF($B26&lt;Y$4,1,0)*IF('Project Assumptions'!$E28+'Project Assumptions'!$C28&gt;='Plant Results'!Y$4,1,0)</f>
        <v>3424967.0228691753</v>
      </c>
      <c r="Z42" s="28">
        <f>Z26*$B42*IF($B26&lt;Z$4,1,0)*IF('Project Assumptions'!$E28+'Project Assumptions'!$C28&gt;='Plant Results'!Z$4,1,0)</f>
        <v>3424967.0228691753</v>
      </c>
      <c r="AA42" s="28">
        <f>AA26*$B42*IF($B26&lt;AA$4,1,0)*IF('Project Assumptions'!$E28+'Project Assumptions'!$C28&gt;='Plant Results'!AA$4,1,0)</f>
        <v>3424967.0228691753</v>
      </c>
      <c r="AB42" s="28">
        <f>AB26*$B42*IF($B26&lt;AB$4,1,0)*IF('Project Assumptions'!$E28+'Project Assumptions'!$C28&gt;='Plant Results'!AB$4,1,0)</f>
        <v>0</v>
      </c>
      <c r="AC42" s="28">
        <f>AC26*$B42*IF($B26&lt;AC$4,1,0)*IF('Project Assumptions'!$E28+'Project Assumptions'!$C28&gt;='Plant Results'!AC$4,1,0)</f>
        <v>0</v>
      </c>
      <c r="AD42" s="28">
        <f>AD26*$B42*IF($B26&lt;AD$4,1,0)*IF('Project Assumptions'!$E28+'Project Assumptions'!$C28&gt;='Plant Results'!AD$4,1,0)</f>
        <v>0</v>
      </c>
      <c r="AE42" s="28">
        <f>AE26*$B42*IF($B26&lt;AE$4,1,0)*IF('Project Assumptions'!$E28+'Project Assumptions'!$C28&gt;='Plant Results'!AE$4,1,0)</f>
        <v>0</v>
      </c>
      <c r="AF42" s="28">
        <f>AF26*$B42*IF($B26&lt;AF$4,1,0)*IF('Project Assumptions'!$E28+'Project Assumptions'!$C28&gt;='Plant Results'!AF$4,1,0)</f>
        <v>0</v>
      </c>
      <c r="AG42" s="28">
        <f>AG26*$B42*IF($B26&lt;AG$4,1,0)*IF('Project Assumptions'!$E28+'Project Assumptions'!$C28&gt;='Plant Results'!AG$4,1,0)</f>
        <v>0</v>
      </c>
      <c r="AH42" s="28">
        <f>AH26*$B42*IF($B26&lt;AH$4,1,0)*IF('Project Assumptions'!$E28+'Project Assumptions'!$C28&gt;='Plant Results'!AH$4,1,0)</f>
        <v>0</v>
      </c>
      <c r="AI42" s="28">
        <f>AI26*$B42*IF($B26&lt;AI$4,1,0)*IF('Project Assumptions'!$E28+'Project Assumptions'!$C28&gt;='Plant Results'!AI$4,1,0)</f>
        <v>0</v>
      </c>
      <c r="AJ42" s="28">
        <f>AJ26*$B42*IF($B26&lt;AJ$4,1,0)*IF('Project Assumptions'!$E28+'Project Assumptions'!$C28&gt;='Plant Results'!AJ$4,1,0)</f>
        <v>0</v>
      </c>
      <c r="AK42" s="28">
        <f>AK26*$B42*IF($B26&lt;AK$4,1,0)*IF('Project Assumptions'!$E28+'Project Assumptions'!$C28&gt;='Plant Results'!AK$4,1,0)</f>
        <v>0</v>
      </c>
      <c r="AL42" s="28">
        <f>AL26*$B42*IF($B26&lt;AL$4,1,0)*IF('Project Assumptions'!$E28+'Project Assumptions'!$C28&gt;='Plant Results'!AL$4,1,0)</f>
        <v>0</v>
      </c>
      <c r="AM42" s="28">
        <f>AM26*$B42*IF($B26&lt;AM$4,1,0)*IF('Project Assumptions'!$E28+'Project Assumptions'!$C28&gt;='Plant Results'!AM$4,1,0)</f>
        <v>0</v>
      </c>
      <c r="AN42" s="28">
        <f>AN26*$B42*IF($B26&lt;AN$4,1,0)*IF('Project Assumptions'!$E28+'Project Assumptions'!$C28&gt;='Plant Results'!AN$4,1,0)</f>
        <v>0</v>
      </c>
      <c r="AO42" s="28">
        <f>AO26*$B42*IF($B26&lt;AO$4,1,0)*IF('Project Assumptions'!$E28+'Project Assumptions'!$C28&gt;='Plant Results'!AO$4,1,0)</f>
        <v>0</v>
      </c>
      <c r="AP42" s="28">
        <f>AP26*$B42*IF($B26&lt;AP$4,1,0)*IF('Project Assumptions'!$E28+'Project Assumptions'!$C28&gt;='Plant Results'!AP$4,1,0)</f>
        <v>0</v>
      </c>
      <c r="AQ42" s="28">
        <f>AQ26*$B42*IF($B26&lt;AQ$4,1,0)*IF('Project Assumptions'!$E28+'Project Assumptions'!$C28&gt;='Plant Results'!AQ$4,1,0)</f>
        <v>0</v>
      </c>
      <c r="AR42" s="28">
        <f>AR26*$B42*IF($B26&lt;AR$4,1,0)*IF('Project Assumptions'!$E28+'Project Assumptions'!$C28&gt;='Plant Results'!AR$4,1,0)</f>
        <v>0</v>
      </c>
      <c r="AS42" s="28">
        <f>AS26*$B42*IF($B26&lt;AS$4,1,0)*IF('Project Assumptions'!$E28+'Project Assumptions'!$C28&gt;='Plant Results'!AS$4,1,0)</f>
        <v>0</v>
      </c>
      <c r="AT42" s="28">
        <f>AT26*$B42*IF($B26&lt;AT$4,1,0)*IF('Project Assumptions'!$E28+'Project Assumptions'!$C28&gt;='Plant Results'!AT$4,1,0)</f>
        <v>0</v>
      </c>
      <c r="AU42" s="28">
        <f>AU26*$B42*IF($B26&lt;AU$4,1,0)*IF('Project Assumptions'!$E28+'Project Assumptions'!$C28&gt;='Plant Results'!AU$4,1,0)</f>
        <v>0</v>
      </c>
      <c r="AV42" s="28">
        <f>AV26*$B42*IF($B26&lt;AV$4,1,0)*IF('Project Assumptions'!$E28+'Project Assumptions'!$C28&gt;='Plant Results'!AV$4,1,0)</f>
        <v>0</v>
      </c>
      <c r="AW42" s="28">
        <f>AW26*$B42*IF($B26&lt;AW$4,1,0)*IF('Project Assumptions'!$E28+'Project Assumptions'!$C28&gt;='Plant Results'!AW$4,1,0)</f>
        <v>0</v>
      </c>
      <c r="AX42" s="28">
        <f>AX26*$B42*IF($B26&lt;AX$4,1,0)*IF('Project Assumptions'!$E28+'Project Assumptions'!$C28&gt;='Plant Results'!AX$4,1,0)</f>
        <v>0</v>
      </c>
      <c r="AY42" s="28">
        <f>AY26*$B42*IF($B26&lt;AY$4,1,0)*IF('Project Assumptions'!$E28+'Project Assumptions'!$C28&gt;='Plant Results'!AY$4,1,0)</f>
        <v>0</v>
      </c>
      <c r="AZ42" s="28">
        <f>AZ26*$B42*IF($B26&lt;AZ$4,1,0)*IF('Project Assumptions'!$E28+'Project Assumptions'!$C28&gt;='Plant Results'!AZ$4,1,0)</f>
        <v>0</v>
      </c>
      <c r="BA42" s="28">
        <f>BA26*$B42*IF($B26&lt;BA$4,1,0)*IF('Project Assumptions'!$E28+'Project Assumptions'!$C28&gt;='Plant Results'!BA$4,1,0)</f>
        <v>0</v>
      </c>
      <c r="BB42" s="28">
        <f>BB26*$B42*IF($B26&lt;BB$4,1,0)*IF('Project Assumptions'!$E28+'Project Assumptions'!$C28&gt;='Plant Results'!BB$4,1,0)</f>
        <v>0</v>
      </c>
      <c r="BC42" s="28">
        <f>BC26*$B42*IF($B26&lt;BC$4,1,0)*IF('Project Assumptions'!$E28+'Project Assumptions'!$C28&gt;='Plant Results'!BC$4,1,0)</f>
        <v>0</v>
      </c>
      <c r="BD42" s="28">
        <f>BD26*$B42*IF($B26&lt;BD$4,1,0)*IF('Project Assumptions'!$E28+'Project Assumptions'!$C28&gt;='Plant Results'!BD$4,1,0)</f>
        <v>0</v>
      </c>
      <c r="BE42" s="28">
        <f>BE26*$B42*IF($B26&lt;BE$4,1,0)*IF('Project Assumptions'!$E28+'Project Assumptions'!$C28&gt;='Plant Results'!BE$4,1,0)</f>
        <v>0</v>
      </c>
      <c r="BF42" s="28">
        <f>BF26*$B42*IF($B26&lt;BF$4,1,0)*IF('Project Assumptions'!$E28+'Project Assumptions'!$C28&gt;='Plant Results'!BF$4,1,0)</f>
        <v>0</v>
      </c>
      <c r="BG42" s="28">
        <f>BG26*$B42*IF($B26&lt;BG$4,1,0)*IF('Project Assumptions'!$E28+'Project Assumptions'!$C28&gt;='Plant Results'!BG$4,1,0)</f>
        <v>0</v>
      </c>
      <c r="BH42" s="28">
        <f>BH26*$B42*IF($B26&lt;BH$4,1,0)*IF('Project Assumptions'!$E28+'Project Assumptions'!$C28&gt;='Plant Results'!BH$4,1,0)</f>
        <v>0</v>
      </c>
      <c r="BI42" s="28">
        <f>BI26*$B42*IF($B26&lt;BI$4,1,0)*IF('Project Assumptions'!$E28+'Project Assumptions'!$C28&gt;='Plant Results'!BI$4,1,0)</f>
        <v>0</v>
      </c>
      <c r="BJ42" s="28">
        <f>BJ26*$B42*IF($B26&lt;BJ$4,1,0)*IF('Project Assumptions'!$E28+'Project Assumptions'!$C28&gt;='Plant Results'!BJ$4,1,0)</f>
        <v>0</v>
      </c>
      <c r="BK42" s="28">
        <f>BK26*$B42*IF($B26&lt;BK$4,1,0)*IF('Project Assumptions'!$E28+'Project Assumptions'!$C28&gt;='Plant Results'!BK$4,1,0)</f>
        <v>0</v>
      </c>
      <c r="BL42" s="28">
        <f t="shared" si="72"/>
        <v>68499340.457383528</v>
      </c>
      <c r="BM42" s="259">
        <f t="shared" si="71"/>
        <v>0</v>
      </c>
    </row>
    <row r="43" spans="1:65" ht="14.5" customHeight="1">
      <c r="A43" s="25" t="str">
        <f t="shared" si="70"/>
        <v xml:space="preserve">Capital Expenditure 5 </v>
      </c>
      <c r="B43" s="35">
        <f>1/'Project Assumptions'!C29</f>
        <v>0.05</v>
      </c>
      <c r="C43" s="28">
        <f>C27*$B43*IF($B27&lt;C$4,1,0)*IF('Project Assumptions'!$E29+'Project Assumptions'!$C29&gt;='Plant Results'!C$4,1,0)</f>
        <v>0</v>
      </c>
      <c r="D43" s="28">
        <f>D27*$B43*IF($B27&lt;D$4,1,0)*IF('Project Assumptions'!$E29+'Project Assumptions'!$C29&gt;='Plant Results'!D$4,1,0)</f>
        <v>0</v>
      </c>
      <c r="E43" s="28">
        <f>E27*$B43*IF($B27&lt;E$4,1,0)*IF('Project Assumptions'!$E29+'Project Assumptions'!$C29&gt;='Plant Results'!E$4,1,0)</f>
        <v>0</v>
      </c>
      <c r="F43" s="28">
        <f>F27*$B43*IF($B27&lt;F$4,1,0)*IF('Project Assumptions'!$E29+'Project Assumptions'!$C29&gt;='Plant Results'!F$4,1,0)</f>
        <v>0</v>
      </c>
      <c r="G43" s="28">
        <f>G27*$B43*IF($B27&lt;G$4,1,0)*IF('Project Assumptions'!$E29+'Project Assumptions'!$C29&gt;='Plant Results'!G$4,1,0)</f>
        <v>0</v>
      </c>
      <c r="H43" s="28">
        <f>H27*$B43*IF($B27&lt;H$4,1,0)*IF('Project Assumptions'!$E29+'Project Assumptions'!$C29&gt;='Plant Results'!H$4,1,0)</f>
        <v>0</v>
      </c>
      <c r="I43" s="28">
        <f>I27*$B43*IF($B27&lt;I$4,1,0)*IF('Project Assumptions'!$E29+'Project Assumptions'!$C29&gt;='Plant Results'!I$4,1,0)</f>
        <v>3544894.5915160067</v>
      </c>
      <c r="J43" s="28">
        <f>J27*$B43*IF($B27&lt;J$4,1,0)*IF('Project Assumptions'!$E29+'Project Assumptions'!$C29&gt;='Plant Results'!J$4,1,0)</f>
        <v>3544894.5915160067</v>
      </c>
      <c r="K43" s="28">
        <f>K27*$B43*IF($B27&lt;K$4,1,0)*IF('Project Assumptions'!$E29+'Project Assumptions'!$C29&gt;='Plant Results'!K$4,1,0)</f>
        <v>3544894.5915160067</v>
      </c>
      <c r="L43" s="28">
        <f>L27*$B43*IF($B27&lt;L$4,1,0)*IF('Project Assumptions'!$E29+'Project Assumptions'!$C29&gt;='Plant Results'!L$4,1,0)</f>
        <v>3544894.5915160067</v>
      </c>
      <c r="M43" s="28">
        <f>M27*$B43*IF($B27&lt;M$4,1,0)*IF('Project Assumptions'!$E29+'Project Assumptions'!$C29&gt;='Plant Results'!M$4,1,0)</f>
        <v>3544894.5915160067</v>
      </c>
      <c r="N43" s="28">
        <f>N27*$B43*IF($B27&lt;N$4,1,0)*IF('Project Assumptions'!$E29+'Project Assumptions'!$C29&gt;='Plant Results'!N$4,1,0)</f>
        <v>3544894.5915160067</v>
      </c>
      <c r="O43" s="28">
        <f>O27*$B43*IF($B27&lt;O$4,1,0)*IF('Project Assumptions'!$E29+'Project Assumptions'!$C29&gt;='Plant Results'!O$4,1,0)</f>
        <v>3544894.5915160067</v>
      </c>
      <c r="P43" s="28">
        <f>P27*$B43*IF($B27&lt;P$4,1,0)*IF('Project Assumptions'!$E29+'Project Assumptions'!$C29&gt;='Plant Results'!P$4,1,0)</f>
        <v>3544894.5915160067</v>
      </c>
      <c r="Q43" s="28">
        <f>Q27*$B43*IF($B27&lt;Q$4,1,0)*IF('Project Assumptions'!$E29+'Project Assumptions'!$C29&gt;='Plant Results'!Q$4,1,0)</f>
        <v>3544894.5915160067</v>
      </c>
      <c r="R43" s="28">
        <f>R27*$B43*IF($B27&lt;R$4,1,0)*IF('Project Assumptions'!$E29+'Project Assumptions'!$C29&gt;='Plant Results'!R$4,1,0)</f>
        <v>3544894.5915160067</v>
      </c>
      <c r="S43" s="28">
        <f>S27*$B43*IF($B27&lt;S$4,1,0)*IF('Project Assumptions'!$E29+'Project Assumptions'!$C29&gt;='Plant Results'!S$4,1,0)</f>
        <v>3544894.5915160067</v>
      </c>
      <c r="T43" s="28">
        <f>T27*$B43*IF($B27&lt;T$4,1,0)*IF('Project Assumptions'!$E29+'Project Assumptions'!$C29&gt;='Plant Results'!T$4,1,0)</f>
        <v>3544894.5915160067</v>
      </c>
      <c r="U43" s="28">
        <f>U27*$B43*IF($B27&lt;U$4,1,0)*IF('Project Assumptions'!$E29+'Project Assumptions'!$C29&gt;='Plant Results'!U$4,1,0)</f>
        <v>3544894.5915160067</v>
      </c>
      <c r="V43" s="28">
        <f>V27*$B43*IF($B27&lt;V$4,1,0)*IF('Project Assumptions'!$E29+'Project Assumptions'!$C29&gt;='Plant Results'!V$4,1,0)</f>
        <v>3544894.5915160067</v>
      </c>
      <c r="W43" s="28">
        <f>W27*$B43*IF($B27&lt;W$4,1,0)*IF('Project Assumptions'!$E29+'Project Assumptions'!$C29&gt;='Plant Results'!W$4,1,0)</f>
        <v>3544894.5915160067</v>
      </c>
      <c r="X43" s="28">
        <f>X27*$B43*IF($B27&lt;X$4,1,0)*IF('Project Assumptions'!$E29+'Project Assumptions'!$C29&gt;='Plant Results'!X$4,1,0)</f>
        <v>3544894.5915160067</v>
      </c>
      <c r="Y43" s="28">
        <f>Y27*$B43*IF($B27&lt;Y$4,1,0)*IF('Project Assumptions'!$E29+'Project Assumptions'!$C29&gt;='Plant Results'!Y$4,1,0)</f>
        <v>3544894.5915160067</v>
      </c>
      <c r="Z43" s="28">
        <f>Z27*$B43*IF($B27&lt;Z$4,1,0)*IF('Project Assumptions'!$E29+'Project Assumptions'!$C29&gt;='Plant Results'!Z$4,1,0)</f>
        <v>3544894.5915160067</v>
      </c>
      <c r="AA43" s="28">
        <f>AA27*$B43*IF($B27&lt;AA$4,1,0)*IF('Project Assumptions'!$E29+'Project Assumptions'!$C29&gt;='Plant Results'!AA$4,1,0)</f>
        <v>3544894.5915160067</v>
      </c>
      <c r="AB43" s="28">
        <f>AB27*$B43*IF($B27&lt;AB$4,1,0)*IF('Project Assumptions'!$E29+'Project Assumptions'!$C29&gt;='Plant Results'!AB$4,1,0)</f>
        <v>3544894.5915160067</v>
      </c>
      <c r="AC43" s="28">
        <f>AC27*$B43*IF($B27&lt;AC$4,1,0)*IF('Project Assumptions'!$E29+'Project Assumptions'!$C29&gt;='Plant Results'!AC$4,1,0)</f>
        <v>0</v>
      </c>
      <c r="AD43" s="28">
        <f>AD27*$B43*IF($B27&lt;AD$4,1,0)*IF('Project Assumptions'!$E29+'Project Assumptions'!$C29&gt;='Plant Results'!AD$4,1,0)</f>
        <v>0</v>
      </c>
      <c r="AE43" s="28">
        <f>AE27*$B43*IF($B27&lt;AE$4,1,0)*IF('Project Assumptions'!$E29+'Project Assumptions'!$C29&gt;='Plant Results'!AE$4,1,0)</f>
        <v>0</v>
      </c>
      <c r="AF43" s="28">
        <f>AF27*$B43*IF($B27&lt;AF$4,1,0)*IF('Project Assumptions'!$E29+'Project Assumptions'!$C29&gt;='Plant Results'!AF$4,1,0)</f>
        <v>0</v>
      </c>
      <c r="AG43" s="28">
        <f>AG27*$B43*IF($B27&lt;AG$4,1,0)*IF('Project Assumptions'!$E29+'Project Assumptions'!$C29&gt;='Plant Results'!AG$4,1,0)</f>
        <v>0</v>
      </c>
      <c r="AH43" s="28">
        <f>AH27*$B43*IF($B27&lt;AH$4,1,0)*IF('Project Assumptions'!$E29+'Project Assumptions'!$C29&gt;='Plant Results'!AH$4,1,0)</f>
        <v>0</v>
      </c>
      <c r="AI43" s="28">
        <f>AI27*$B43*IF($B27&lt;AI$4,1,0)*IF('Project Assumptions'!$E29+'Project Assumptions'!$C29&gt;='Plant Results'!AI$4,1,0)</f>
        <v>0</v>
      </c>
      <c r="AJ43" s="28">
        <f>AJ27*$B43*IF($B27&lt;AJ$4,1,0)*IF('Project Assumptions'!$E29+'Project Assumptions'!$C29&gt;='Plant Results'!AJ$4,1,0)</f>
        <v>0</v>
      </c>
      <c r="AK43" s="28">
        <f>AK27*$B43*IF($B27&lt;AK$4,1,0)*IF('Project Assumptions'!$E29+'Project Assumptions'!$C29&gt;='Plant Results'!AK$4,1,0)</f>
        <v>0</v>
      </c>
      <c r="AL43" s="28">
        <f>AL27*$B43*IF($B27&lt;AL$4,1,0)*IF('Project Assumptions'!$E29+'Project Assumptions'!$C29&gt;='Plant Results'!AL$4,1,0)</f>
        <v>0</v>
      </c>
      <c r="AM43" s="28">
        <f>AM27*$B43*IF($B27&lt;AM$4,1,0)*IF('Project Assumptions'!$E29+'Project Assumptions'!$C29&gt;='Plant Results'!AM$4,1,0)</f>
        <v>0</v>
      </c>
      <c r="AN43" s="28">
        <f>AN27*$B43*IF($B27&lt;AN$4,1,0)*IF('Project Assumptions'!$E29+'Project Assumptions'!$C29&gt;='Plant Results'!AN$4,1,0)</f>
        <v>0</v>
      </c>
      <c r="AO43" s="28">
        <f>AO27*$B43*IF($B27&lt;AO$4,1,0)*IF('Project Assumptions'!$E29+'Project Assumptions'!$C29&gt;='Plant Results'!AO$4,1,0)</f>
        <v>0</v>
      </c>
      <c r="AP43" s="28">
        <f>AP27*$B43*IF($B27&lt;AP$4,1,0)*IF('Project Assumptions'!$E29+'Project Assumptions'!$C29&gt;='Plant Results'!AP$4,1,0)</f>
        <v>0</v>
      </c>
      <c r="AQ43" s="28">
        <f>AQ27*$B43*IF($B27&lt;AQ$4,1,0)*IF('Project Assumptions'!$E29+'Project Assumptions'!$C29&gt;='Plant Results'!AQ$4,1,0)</f>
        <v>0</v>
      </c>
      <c r="AR43" s="28">
        <f>AR27*$B43*IF($B27&lt;AR$4,1,0)*IF('Project Assumptions'!$E29+'Project Assumptions'!$C29&gt;='Plant Results'!AR$4,1,0)</f>
        <v>0</v>
      </c>
      <c r="AS43" s="28">
        <f>AS27*$B43*IF($B27&lt;AS$4,1,0)*IF('Project Assumptions'!$E29+'Project Assumptions'!$C29&gt;='Plant Results'!AS$4,1,0)</f>
        <v>0</v>
      </c>
      <c r="AT43" s="28">
        <f>AT27*$B43*IF($B27&lt;AT$4,1,0)*IF('Project Assumptions'!$E29+'Project Assumptions'!$C29&gt;='Plant Results'!AT$4,1,0)</f>
        <v>0</v>
      </c>
      <c r="AU43" s="28">
        <f>AU27*$B43*IF($B27&lt;AU$4,1,0)*IF('Project Assumptions'!$E29+'Project Assumptions'!$C29&gt;='Plant Results'!AU$4,1,0)</f>
        <v>0</v>
      </c>
      <c r="AV43" s="28">
        <f>AV27*$B43*IF($B27&lt;AV$4,1,0)*IF('Project Assumptions'!$E29+'Project Assumptions'!$C29&gt;='Plant Results'!AV$4,1,0)</f>
        <v>0</v>
      </c>
      <c r="AW43" s="28">
        <f>AW27*$B43*IF($B27&lt;AW$4,1,0)*IF('Project Assumptions'!$E29+'Project Assumptions'!$C29&gt;='Plant Results'!AW$4,1,0)</f>
        <v>0</v>
      </c>
      <c r="AX43" s="28">
        <f>AX27*$B43*IF($B27&lt;AX$4,1,0)*IF('Project Assumptions'!$E29+'Project Assumptions'!$C29&gt;='Plant Results'!AX$4,1,0)</f>
        <v>0</v>
      </c>
      <c r="AY43" s="28">
        <f>AY27*$B43*IF($B27&lt;AY$4,1,0)*IF('Project Assumptions'!$E29+'Project Assumptions'!$C29&gt;='Plant Results'!AY$4,1,0)</f>
        <v>0</v>
      </c>
      <c r="AZ43" s="28">
        <f>AZ27*$B43*IF($B27&lt;AZ$4,1,0)*IF('Project Assumptions'!$E29+'Project Assumptions'!$C29&gt;='Plant Results'!AZ$4,1,0)</f>
        <v>0</v>
      </c>
      <c r="BA43" s="28">
        <f>BA27*$B43*IF($B27&lt;BA$4,1,0)*IF('Project Assumptions'!$E29+'Project Assumptions'!$C29&gt;='Plant Results'!BA$4,1,0)</f>
        <v>0</v>
      </c>
      <c r="BB43" s="28">
        <f>BB27*$B43*IF($B27&lt;BB$4,1,0)*IF('Project Assumptions'!$E29+'Project Assumptions'!$C29&gt;='Plant Results'!BB$4,1,0)</f>
        <v>0</v>
      </c>
      <c r="BC43" s="28">
        <f>BC27*$B43*IF($B27&lt;BC$4,1,0)*IF('Project Assumptions'!$E29+'Project Assumptions'!$C29&gt;='Plant Results'!BC$4,1,0)</f>
        <v>0</v>
      </c>
      <c r="BD43" s="28">
        <f>BD27*$B43*IF($B27&lt;BD$4,1,0)*IF('Project Assumptions'!$E29+'Project Assumptions'!$C29&gt;='Plant Results'!BD$4,1,0)</f>
        <v>0</v>
      </c>
      <c r="BE43" s="28">
        <f>BE27*$B43*IF($B27&lt;BE$4,1,0)*IF('Project Assumptions'!$E29+'Project Assumptions'!$C29&gt;='Plant Results'!BE$4,1,0)</f>
        <v>0</v>
      </c>
      <c r="BF43" s="28">
        <f>BF27*$B43*IF($B27&lt;BF$4,1,0)*IF('Project Assumptions'!$E29+'Project Assumptions'!$C29&gt;='Plant Results'!BF$4,1,0)</f>
        <v>0</v>
      </c>
      <c r="BG43" s="28">
        <f>BG27*$B43*IF($B27&lt;BG$4,1,0)*IF('Project Assumptions'!$E29+'Project Assumptions'!$C29&gt;='Plant Results'!BG$4,1,0)</f>
        <v>0</v>
      </c>
      <c r="BH43" s="28">
        <f>BH27*$B43*IF($B27&lt;BH$4,1,0)*IF('Project Assumptions'!$E29+'Project Assumptions'!$C29&gt;='Plant Results'!BH$4,1,0)</f>
        <v>0</v>
      </c>
      <c r="BI43" s="28">
        <f>BI27*$B43*IF($B27&lt;BI$4,1,0)*IF('Project Assumptions'!$E29+'Project Assumptions'!$C29&gt;='Plant Results'!BI$4,1,0)</f>
        <v>0</v>
      </c>
      <c r="BJ43" s="28">
        <f>BJ27*$B43*IF($B27&lt;BJ$4,1,0)*IF('Project Assumptions'!$E29+'Project Assumptions'!$C29&gt;='Plant Results'!BJ$4,1,0)</f>
        <v>0</v>
      </c>
      <c r="BK43" s="28">
        <f>BK27*$B43*IF($B27&lt;BK$4,1,0)*IF('Project Assumptions'!$E29+'Project Assumptions'!$C29&gt;='Plant Results'!BK$4,1,0)</f>
        <v>0</v>
      </c>
      <c r="BL43" s="28">
        <f t="shared" si="72"/>
        <v>70897891.830320105</v>
      </c>
      <c r="BM43" s="259">
        <f t="shared" si="71"/>
        <v>0</v>
      </c>
    </row>
    <row r="44" spans="1:65" ht="14.5" customHeight="1">
      <c r="A44" s="25" t="str">
        <f t="shared" si="70"/>
        <v xml:space="preserve">Capital Expenditure 6 </v>
      </c>
      <c r="B44" s="35">
        <f>1/'Project Assumptions'!C30</f>
        <v>0.05</v>
      </c>
      <c r="C44" s="28">
        <f>C28*$B44*IF($B28&lt;C$4,1,0)*IF('Project Assumptions'!$E30+'Project Assumptions'!$C30&gt;='Plant Results'!C$4,1,0)</f>
        <v>0</v>
      </c>
      <c r="D44" s="28">
        <f>D28*$B44*IF($B28&lt;D$4,1,0)*IF('Project Assumptions'!$E30+'Project Assumptions'!$C30&gt;='Plant Results'!D$4,1,0)</f>
        <v>0</v>
      </c>
      <c r="E44" s="28">
        <f>E28*$B44*IF($B28&lt;E$4,1,0)*IF('Project Assumptions'!$E30+'Project Assumptions'!$C30&gt;='Plant Results'!E$4,1,0)</f>
        <v>0</v>
      </c>
      <c r="F44" s="28">
        <f>F28*$B44*IF($B28&lt;F$4,1,0)*IF('Project Assumptions'!$E30+'Project Assumptions'!$C30&gt;='Plant Results'!F$4,1,0)</f>
        <v>0</v>
      </c>
      <c r="G44" s="28">
        <f>G28*$B44*IF($B28&lt;G$4,1,0)*IF('Project Assumptions'!$E30+'Project Assumptions'!$C30&gt;='Plant Results'!G$4,1,0)</f>
        <v>0</v>
      </c>
      <c r="H44" s="28">
        <f>H28*$B44*IF($B28&lt;H$4,1,0)*IF('Project Assumptions'!$E30+'Project Assumptions'!$C30&gt;='Plant Results'!H$4,1,0)</f>
        <v>0</v>
      </c>
      <c r="I44" s="28">
        <f>I28*$B44*IF($B28&lt;I$4,1,0)*IF('Project Assumptions'!$E30+'Project Assumptions'!$C30&gt;='Plant Results'!I$4,1,0)</f>
        <v>0</v>
      </c>
      <c r="J44" s="28">
        <f>J28*$B44*IF($B28&lt;J$4,1,0)*IF('Project Assumptions'!$E30+'Project Assumptions'!$C30&gt;='Plant Results'!J$4,1,0)</f>
        <v>3651241.429261487</v>
      </c>
      <c r="K44" s="28">
        <f>K28*$B44*IF($B28&lt;K$4,1,0)*IF('Project Assumptions'!$E30+'Project Assumptions'!$C30&gt;='Plant Results'!K$4,1,0)</f>
        <v>3651241.429261487</v>
      </c>
      <c r="L44" s="28">
        <f>L28*$B44*IF($B28&lt;L$4,1,0)*IF('Project Assumptions'!$E30+'Project Assumptions'!$C30&gt;='Plant Results'!L$4,1,0)</f>
        <v>3651241.429261487</v>
      </c>
      <c r="M44" s="28">
        <f>M28*$B44*IF($B28&lt;M$4,1,0)*IF('Project Assumptions'!$E30+'Project Assumptions'!$C30&gt;='Plant Results'!M$4,1,0)</f>
        <v>3651241.429261487</v>
      </c>
      <c r="N44" s="28">
        <f>N28*$B44*IF($B28&lt;N$4,1,0)*IF('Project Assumptions'!$E30+'Project Assumptions'!$C30&gt;='Plant Results'!N$4,1,0)</f>
        <v>3651241.429261487</v>
      </c>
      <c r="O44" s="28">
        <f>O28*$B44*IF($B28&lt;O$4,1,0)*IF('Project Assumptions'!$E30+'Project Assumptions'!$C30&gt;='Plant Results'!O$4,1,0)</f>
        <v>3651241.429261487</v>
      </c>
      <c r="P44" s="28">
        <f>P28*$B44*IF($B28&lt;P$4,1,0)*IF('Project Assumptions'!$E30+'Project Assumptions'!$C30&gt;='Plant Results'!P$4,1,0)</f>
        <v>3651241.429261487</v>
      </c>
      <c r="Q44" s="28">
        <f>Q28*$B44*IF($B28&lt;Q$4,1,0)*IF('Project Assumptions'!$E30+'Project Assumptions'!$C30&gt;='Plant Results'!Q$4,1,0)</f>
        <v>3651241.429261487</v>
      </c>
      <c r="R44" s="28">
        <f>R28*$B44*IF($B28&lt;R$4,1,0)*IF('Project Assumptions'!$E30+'Project Assumptions'!$C30&gt;='Plant Results'!R$4,1,0)</f>
        <v>3651241.429261487</v>
      </c>
      <c r="S44" s="28">
        <f>S28*$B44*IF($B28&lt;S$4,1,0)*IF('Project Assumptions'!$E30+'Project Assumptions'!$C30&gt;='Plant Results'!S$4,1,0)</f>
        <v>3651241.429261487</v>
      </c>
      <c r="T44" s="28">
        <f>T28*$B44*IF($B28&lt;T$4,1,0)*IF('Project Assumptions'!$E30+'Project Assumptions'!$C30&gt;='Plant Results'!T$4,1,0)</f>
        <v>3651241.429261487</v>
      </c>
      <c r="U44" s="28">
        <f>U28*$B44*IF($B28&lt;U$4,1,0)*IF('Project Assumptions'!$E30+'Project Assumptions'!$C30&gt;='Plant Results'!U$4,1,0)</f>
        <v>3651241.429261487</v>
      </c>
      <c r="V44" s="28">
        <f>V28*$B44*IF($B28&lt;V$4,1,0)*IF('Project Assumptions'!$E30+'Project Assumptions'!$C30&gt;='Plant Results'!V$4,1,0)</f>
        <v>3651241.429261487</v>
      </c>
      <c r="W44" s="28">
        <f>W28*$B44*IF($B28&lt;W$4,1,0)*IF('Project Assumptions'!$E30+'Project Assumptions'!$C30&gt;='Plant Results'!W$4,1,0)</f>
        <v>3651241.429261487</v>
      </c>
      <c r="X44" s="28">
        <f>X28*$B44*IF($B28&lt;X$4,1,0)*IF('Project Assumptions'!$E30+'Project Assumptions'!$C30&gt;='Plant Results'!X$4,1,0)</f>
        <v>3651241.429261487</v>
      </c>
      <c r="Y44" s="28">
        <f>Y28*$B44*IF($B28&lt;Y$4,1,0)*IF('Project Assumptions'!$E30+'Project Assumptions'!$C30&gt;='Plant Results'!Y$4,1,0)</f>
        <v>3651241.429261487</v>
      </c>
      <c r="Z44" s="28">
        <f>Z28*$B44*IF($B28&lt;Z$4,1,0)*IF('Project Assumptions'!$E30+'Project Assumptions'!$C30&gt;='Plant Results'!Z$4,1,0)</f>
        <v>3651241.429261487</v>
      </c>
      <c r="AA44" s="28">
        <f>AA28*$B44*IF($B28&lt;AA$4,1,0)*IF('Project Assumptions'!$E30+'Project Assumptions'!$C30&gt;='Plant Results'!AA$4,1,0)</f>
        <v>3651241.429261487</v>
      </c>
      <c r="AB44" s="28">
        <f>AB28*$B44*IF($B28&lt;AB$4,1,0)*IF('Project Assumptions'!$E30+'Project Assumptions'!$C30&gt;='Plant Results'!AB$4,1,0)</f>
        <v>3651241.429261487</v>
      </c>
      <c r="AC44" s="28">
        <f>AC28*$B44*IF($B28&lt;AC$4,1,0)*IF('Project Assumptions'!$E30+'Project Assumptions'!$C30&gt;='Plant Results'!AC$4,1,0)</f>
        <v>3651241.429261487</v>
      </c>
      <c r="AD44" s="28">
        <f>AD28*$B44*IF($B28&lt;AD$4,1,0)*IF('Project Assumptions'!$E30+'Project Assumptions'!$C30&gt;='Plant Results'!AD$4,1,0)</f>
        <v>0</v>
      </c>
      <c r="AE44" s="28">
        <f>AE28*$B44*IF($B28&lt;AE$4,1,0)*IF('Project Assumptions'!$E30+'Project Assumptions'!$C30&gt;='Plant Results'!AE$4,1,0)</f>
        <v>0</v>
      </c>
      <c r="AF44" s="28">
        <f>AF28*$B44*IF($B28&lt;AF$4,1,0)*IF('Project Assumptions'!$E30+'Project Assumptions'!$C30&gt;='Plant Results'!AF$4,1,0)</f>
        <v>0</v>
      </c>
      <c r="AG44" s="28">
        <f>AG28*$B44*IF($B28&lt;AG$4,1,0)*IF('Project Assumptions'!$E30+'Project Assumptions'!$C30&gt;='Plant Results'!AG$4,1,0)</f>
        <v>0</v>
      </c>
      <c r="AH44" s="28">
        <f>AH28*$B44*IF($B28&lt;AH$4,1,0)*IF('Project Assumptions'!$E30+'Project Assumptions'!$C30&gt;='Plant Results'!AH$4,1,0)</f>
        <v>0</v>
      </c>
      <c r="AI44" s="28">
        <f>AI28*$B44*IF($B28&lt;AI$4,1,0)*IF('Project Assumptions'!$E30+'Project Assumptions'!$C30&gt;='Plant Results'!AI$4,1,0)</f>
        <v>0</v>
      </c>
      <c r="AJ44" s="28">
        <f>AJ28*$B44*IF($B28&lt;AJ$4,1,0)*IF('Project Assumptions'!$E30+'Project Assumptions'!$C30&gt;='Plant Results'!AJ$4,1,0)</f>
        <v>0</v>
      </c>
      <c r="AK44" s="28">
        <f>AK28*$B44*IF($B28&lt;AK$4,1,0)*IF('Project Assumptions'!$E30+'Project Assumptions'!$C30&gt;='Plant Results'!AK$4,1,0)</f>
        <v>0</v>
      </c>
      <c r="AL44" s="28">
        <f>AL28*$B44*IF($B28&lt;AL$4,1,0)*IF('Project Assumptions'!$E30+'Project Assumptions'!$C30&gt;='Plant Results'!AL$4,1,0)</f>
        <v>0</v>
      </c>
      <c r="AM44" s="28">
        <f>AM28*$B44*IF($B28&lt;AM$4,1,0)*IF('Project Assumptions'!$E30+'Project Assumptions'!$C30&gt;='Plant Results'!AM$4,1,0)</f>
        <v>0</v>
      </c>
      <c r="AN44" s="28">
        <f>AN28*$B44*IF($B28&lt;AN$4,1,0)*IF('Project Assumptions'!$E30+'Project Assumptions'!$C30&gt;='Plant Results'!AN$4,1,0)</f>
        <v>0</v>
      </c>
      <c r="AO44" s="28">
        <f>AO28*$B44*IF($B28&lt;AO$4,1,0)*IF('Project Assumptions'!$E30+'Project Assumptions'!$C30&gt;='Plant Results'!AO$4,1,0)</f>
        <v>0</v>
      </c>
      <c r="AP44" s="28">
        <f>AP28*$B44*IF($B28&lt;AP$4,1,0)*IF('Project Assumptions'!$E30+'Project Assumptions'!$C30&gt;='Plant Results'!AP$4,1,0)</f>
        <v>0</v>
      </c>
      <c r="AQ44" s="28">
        <f>AQ28*$B44*IF($B28&lt;AQ$4,1,0)*IF('Project Assumptions'!$E30+'Project Assumptions'!$C30&gt;='Plant Results'!AQ$4,1,0)</f>
        <v>0</v>
      </c>
      <c r="AR44" s="28">
        <f>AR28*$B44*IF($B28&lt;AR$4,1,0)*IF('Project Assumptions'!$E30+'Project Assumptions'!$C30&gt;='Plant Results'!AR$4,1,0)</f>
        <v>0</v>
      </c>
      <c r="AS44" s="28">
        <f>AS28*$B44*IF($B28&lt;AS$4,1,0)*IF('Project Assumptions'!$E30+'Project Assumptions'!$C30&gt;='Plant Results'!AS$4,1,0)</f>
        <v>0</v>
      </c>
      <c r="AT44" s="28">
        <f>AT28*$B44*IF($B28&lt;AT$4,1,0)*IF('Project Assumptions'!$E30+'Project Assumptions'!$C30&gt;='Plant Results'!AT$4,1,0)</f>
        <v>0</v>
      </c>
      <c r="AU44" s="28">
        <f>AU28*$B44*IF($B28&lt;AU$4,1,0)*IF('Project Assumptions'!$E30+'Project Assumptions'!$C30&gt;='Plant Results'!AU$4,1,0)</f>
        <v>0</v>
      </c>
      <c r="AV44" s="28">
        <f>AV28*$B44*IF($B28&lt;AV$4,1,0)*IF('Project Assumptions'!$E30+'Project Assumptions'!$C30&gt;='Plant Results'!AV$4,1,0)</f>
        <v>0</v>
      </c>
      <c r="AW44" s="28">
        <f>AW28*$B44*IF($B28&lt;AW$4,1,0)*IF('Project Assumptions'!$E30+'Project Assumptions'!$C30&gt;='Plant Results'!AW$4,1,0)</f>
        <v>0</v>
      </c>
      <c r="AX44" s="28">
        <f>AX28*$B44*IF($B28&lt;AX$4,1,0)*IF('Project Assumptions'!$E30+'Project Assumptions'!$C30&gt;='Plant Results'!AX$4,1,0)</f>
        <v>0</v>
      </c>
      <c r="AY44" s="28">
        <f>AY28*$B44*IF($B28&lt;AY$4,1,0)*IF('Project Assumptions'!$E30+'Project Assumptions'!$C30&gt;='Plant Results'!AY$4,1,0)</f>
        <v>0</v>
      </c>
      <c r="AZ44" s="28">
        <f>AZ28*$B44*IF($B28&lt;AZ$4,1,0)*IF('Project Assumptions'!$E30+'Project Assumptions'!$C30&gt;='Plant Results'!AZ$4,1,0)</f>
        <v>0</v>
      </c>
      <c r="BA44" s="28">
        <f>BA28*$B44*IF($B28&lt;BA$4,1,0)*IF('Project Assumptions'!$E30+'Project Assumptions'!$C30&gt;='Plant Results'!BA$4,1,0)</f>
        <v>0</v>
      </c>
      <c r="BB44" s="28">
        <f>BB28*$B44*IF($B28&lt;BB$4,1,0)*IF('Project Assumptions'!$E30+'Project Assumptions'!$C30&gt;='Plant Results'!BB$4,1,0)</f>
        <v>0</v>
      </c>
      <c r="BC44" s="28">
        <f>BC28*$B44*IF($B28&lt;BC$4,1,0)*IF('Project Assumptions'!$E30+'Project Assumptions'!$C30&gt;='Plant Results'!BC$4,1,0)</f>
        <v>0</v>
      </c>
      <c r="BD44" s="28">
        <f>BD28*$B44*IF($B28&lt;BD$4,1,0)*IF('Project Assumptions'!$E30+'Project Assumptions'!$C30&gt;='Plant Results'!BD$4,1,0)</f>
        <v>0</v>
      </c>
      <c r="BE44" s="28">
        <f>BE28*$B44*IF($B28&lt;BE$4,1,0)*IF('Project Assumptions'!$E30+'Project Assumptions'!$C30&gt;='Plant Results'!BE$4,1,0)</f>
        <v>0</v>
      </c>
      <c r="BF44" s="28">
        <f>BF28*$B44*IF($B28&lt;BF$4,1,0)*IF('Project Assumptions'!$E30+'Project Assumptions'!$C30&gt;='Plant Results'!BF$4,1,0)</f>
        <v>0</v>
      </c>
      <c r="BG44" s="28">
        <f>BG28*$B44*IF($B28&lt;BG$4,1,0)*IF('Project Assumptions'!$E30+'Project Assumptions'!$C30&gt;='Plant Results'!BG$4,1,0)</f>
        <v>0</v>
      </c>
      <c r="BH44" s="28">
        <f>BH28*$B44*IF($B28&lt;BH$4,1,0)*IF('Project Assumptions'!$E30+'Project Assumptions'!$C30&gt;='Plant Results'!BH$4,1,0)</f>
        <v>0</v>
      </c>
      <c r="BI44" s="28">
        <f>BI28*$B44*IF($B28&lt;BI$4,1,0)*IF('Project Assumptions'!$E30+'Project Assumptions'!$C30&gt;='Plant Results'!BI$4,1,0)</f>
        <v>0</v>
      </c>
      <c r="BJ44" s="28">
        <f>BJ28*$B44*IF($B28&lt;BJ$4,1,0)*IF('Project Assumptions'!$E30+'Project Assumptions'!$C30&gt;='Plant Results'!BJ$4,1,0)</f>
        <v>0</v>
      </c>
      <c r="BK44" s="28">
        <f>BK28*$B44*IF($B28&lt;BK$4,1,0)*IF('Project Assumptions'!$E30+'Project Assumptions'!$C30&gt;='Plant Results'!BK$4,1,0)</f>
        <v>0</v>
      </c>
      <c r="BL44" s="28">
        <f t="shared" si="72"/>
        <v>73024828.585229769</v>
      </c>
      <c r="BM44" s="259">
        <f t="shared" si="71"/>
        <v>0</v>
      </c>
    </row>
    <row r="45" spans="1:65" ht="14.5" customHeight="1">
      <c r="A45" s="25" t="str">
        <f t="shared" si="70"/>
        <v>Capital Expenditure 7</v>
      </c>
      <c r="B45" s="35">
        <f>1/'Project Assumptions'!C31</f>
        <v>0.05</v>
      </c>
      <c r="C45" s="28">
        <f>C29*$B45*IF($B29&lt;C$4,1,0)*IF('Project Assumptions'!$E31+'Project Assumptions'!$C31&gt;='Plant Results'!C$4,1,0)</f>
        <v>0</v>
      </c>
      <c r="D45" s="28">
        <f>D29*$B45*IF($B29&lt;D$4,1,0)*IF('Project Assumptions'!$E31+'Project Assumptions'!$C31&gt;='Plant Results'!D$4,1,0)</f>
        <v>0</v>
      </c>
      <c r="E45" s="28">
        <f>E29*$B45*IF($B29&lt;E$4,1,0)*IF('Project Assumptions'!$E31+'Project Assumptions'!$C31&gt;='Plant Results'!E$4,1,0)</f>
        <v>0</v>
      </c>
      <c r="F45" s="28">
        <f>F29*$B45*IF($B29&lt;F$4,1,0)*IF('Project Assumptions'!$E31+'Project Assumptions'!$C31&gt;='Plant Results'!F$4,1,0)</f>
        <v>0</v>
      </c>
      <c r="G45" s="28">
        <f>G29*$B45*IF($B29&lt;G$4,1,0)*IF('Project Assumptions'!$E31+'Project Assumptions'!$C31&gt;='Plant Results'!G$4,1,0)</f>
        <v>0</v>
      </c>
      <c r="H45" s="28">
        <f>H29*$B45*IF($B29&lt;H$4,1,0)*IF('Project Assumptions'!$E31+'Project Assumptions'!$C31&gt;='Plant Results'!H$4,1,0)</f>
        <v>0</v>
      </c>
      <c r="I45" s="28">
        <f>I29*$B45*IF($B29&lt;I$4,1,0)*IF('Project Assumptions'!$E31+'Project Assumptions'!$C31&gt;='Plant Results'!I$4,1,0)</f>
        <v>0</v>
      </c>
      <c r="J45" s="28">
        <f>J29*$B45*IF($B29&lt;J$4,1,0)*IF('Project Assumptions'!$E31+'Project Assumptions'!$C31&gt;='Plant Results'!J$4,1,0)</f>
        <v>0</v>
      </c>
      <c r="K45" s="28">
        <f>K29*$B45*IF($B29&lt;K$4,1,0)*IF('Project Assumptions'!$E31+'Project Assumptions'!$C31&gt;='Plant Results'!K$4,1,0)</f>
        <v>3760778.6721393317</v>
      </c>
      <c r="L45" s="28">
        <f>L29*$B45*IF($B29&lt;L$4,1,0)*IF('Project Assumptions'!$E31+'Project Assumptions'!$C31&gt;='Plant Results'!L$4,1,0)</f>
        <v>3760778.6721393317</v>
      </c>
      <c r="M45" s="28">
        <f>M29*$B45*IF($B29&lt;M$4,1,0)*IF('Project Assumptions'!$E31+'Project Assumptions'!$C31&gt;='Plant Results'!M$4,1,0)</f>
        <v>3760778.6721393317</v>
      </c>
      <c r="N45" s="28">
        <f>N29*$B45*IF($B29&lt;N$4,1,0)*IF('Project Assumptions'!$E31+'Project Assumptions'!$C31&gt;='Plant Results'!N$4,1,0)</f>
        <v>3760778.6721393317</v>
      </c>
      <c r="O45" s="28">
        <f>O29*$B45*IF($B29&lt;O$4,1,0)*IF('Project Assumptions'!$E31+'Project Assumptions'!$C31&gt;='Plant Results'!O$4,1,0)</f>
        <v>3760778.6721393317</v>
      </c>
      <c r="P45" s="28">
        <f>P29*$B45*IF($B29&lt;P$4,1,0)*IF('Project Assumptions'!$E31+'Project Assumptions'!$C31&gt;='Plant Results'!P$4,1,0)</f>
        <v>3760778.6721393317</v>
      </c>
      <c r="Q45" s="28">
        <f>Q29*$B45*IF($B29&lt;Q$4,1,0)*IF('Project Assumptions'!$E31+'Project Assumptions'!$C31&gt;='Plant Results'!Q$4,1,0)</f>
        <v>3760778.6721393317</v>
      </c>
      <c r="R45" s="28">
        <f>R29*$B45*IF($B29&lt;R$4,1,0)*IF('Project Assumptions'!$E31+'Project Assumptions'!$C31&gt;='Plant Results'!R$4,1,0)</f>
        <v>3760778.6721393317</v>
      </c>
      <c r="S45" s="28">
        <f>S29*$B45*IF($B29&lt;S$4,1,0)*IF('Project Assumptions'!$E31+'Project Assumptions'!$C31&gt;='Plant Results'!S$4,1,0)</f>
        <v>3760778.6721393317</v>
      </c>
      <c r="T45" s="28">
        <f>T29*$B45*IF($B29&lt;T$4,1,0)*IF('Project Assumptions'!$E31+'Project Assumptions'!$C31&gt;='Plant Results'!T$4,1,0)</f>
        <v>3760778.6721393317</v>
      </c>
      <c r="U45" s="28">
        <f>U29*$B45*IF($B29&lt;U$4,1,0)*IF('Project Assumptions'!$E31+'Project Assumptions'!$C31&gt;='Plant Results'!U$4,1,0)</f>
        <v>3760778.6721393317</v>
      </c>
      <c r="V45" s="28">
        <f>V29*$B45*IF($B29&lt;V$4,1,0)*IF('Project Assumptions'!$E31+'Project Assumptions'!$C31&gt;='Plant Results'!V$4,1,0)</f>
        <v>3760778.6721393317</v>
      </c>
      <c r="W45" s="28">
        <f>W29*$B45*IF($B29&lt;W$4,1,0)*IF('Project Assumptions'!$E31+'Project Assumptions'!$C31&gt;='Plant Results'!W$4,1,0)</f>
        <v>3760778.6721393317</v>
      </c>
      <c r="X45" s="28">
        <f>X29*$B45*IF($B29&lt;X$4,1,0)*IF('Project Assumptions'!$E31+'Project Assumptions'!$C31&gt;='Plant Results'!X$4,1,0)</f>
        <v>3760778.6721393317</v>
      </c>
      <c r="Y45" s="28">
        <f>Y29*$B45*IF($B29&lt;Y$4,1,0)*IF('Project Assumptions'!$E31+'Project Assumptions'!$C31&gt;='Plant Results'!Y$4,1,0)</f>
        <v>3760778.6721393317</v>
      </c>
      <c r="Z45" s="28">
        <f>Z29*$B45*IF($B29&lt;Z$4,1,0)*IF('Project Assumptions'!$E31+'Project Assumptions'!$C31&gt;='Plant Results'!Z$4,1,0)</f>
        <v>3760778.6721393317</v>
      </c>
      <c r="AA45" s="28">
        <f>AA29*$B45*IF($B29&lt;AA$4,1,0)*IF('Project Assumptions'!$E31+'Project Assumptions'!$C31&gt;='Plant Results'!AA$4,1,0)</f>
        <v>3760778.6721393317</v>
      </c>
      <c r="AB45" s="28">
        <f>AB29*$B45*IF($B29&lt;AB$4,1,0)*IF('Project Assumptions'!$E31+'Project Assumptions'!$C31&gt;='Plant Results'!AB$4,1,0)</f>
        <v>3760778.6721393317</v>
      </c>
      <c r="AC45" s="28">
        <f>AC29*$B45*IF($B29&lt;AC$4,1,0)*IF('Project Assumptions'!$E31+'Project Assumptions'!$C31&gt;='Plant Results'!AC$4,1,0)</f>
        <v>3760778.6721393317</v>
      </c>
      <c r="AD45" s="28">
        <f>AD29*$B45*IF($B29&lt;AD$4,1,0)*IF('Project Assumptions'!$E31+'Project Assumptions'!$C31&gt;='Plant Results'!AD$4,1,0)</f>
        <v>3760778.6721393317</v>
      </c>
      <c r="AE45" s="28">
        <f>AE29*$B45*IF($B29&lt;AE$4,1,0)*IF('Project Assumptions'!$E31+'Project Assumptions'!$C31&gt;='Plant Results'!AE$4,1,0)</f>
        <v>0</v>
      </c>
      <c r="AF45" s="28">
        <f>AF29*$B45*IF($B29&lt;AF$4,1,0)*IF('Project Assumptions'!$E31+'Project Assumptions'!$C31&gt;='Plant Results'!AF$4,1,0)</f>
        <v>0</v>
      </c>
      <c r="AG45" s="28">
        <f>AG29*$B45*IF($B29&lt;AG$4,1,0)*IF('Project Assumptions'!$E31+'Project Assumptions'!$C31&gt;='Plant Results'!AG$4,1,0)</f>
        <v>0</v>
      </c>
      <c r="AH45" s="28">
        <f>AH29*$B45*IF($B29&lt;AH$4,1,0)*IF('Project Assumptions'!$E31+'Project Assumptions'!$C31&gt;='Plant Results'!AH$4,1,0)</f>
        <v>0</v>
      </c>
      <c r="AI45" s="28">
        <f>AI29*$B45*IF($B29&lt;AI$4,1,0)*IF('Project Assumptions'!$E31+'Project Assumptions'!$C31&gt;='Plant Results'!AI$4,1,0)</f>
        <v>0</v>
      </c>
      <c r="AJ45" s="28">
        <f>AJ29*$B45*IF($B29&lt;AJ$4,1,0)*IF('Project Assumptions'!$E31+'Project Assumptions'!$C31&gt;='Plant Results'!AJ$4,1,0)</f>
        <v>0</v>
      </c>
      <c r="AK45" s="28">
        <f>AK29*$B45*IF($B29&lt;AK$4,1,0)*IF('Project Assumptions'!$E31+'Project Assumptions'!$C31&gt;='Plant Results'!AK$4,1,0)</f>
        <v>0</v>
      </c>
      <c r="AL45" s="28">
        <f>AL29*$B45*IF($B29&lt;AL$4,1,0)*IF('Project Assumptions'!$E31+'Project Assumptions'!$C31&gt;='Plant Results'!AL$4,1,0)</f>
        <v>0</v>
      </c>
      <c r="AM45" s="28">
        <f>AM29*$B45*IF($B29&lt;AM$4,1,0)*IF('Project Assumptions'!$E31+'Project Assumptions'!$C31&gt;='Plant Results'!AM$4,1,0)</f>
        <v>0</v>
      </c>
      <c r="AN45" s="28">
        <f>AN29*$B45*IF($B29&lt;AN$4,1,0)*IF('Project Assumptions'!$E31+'Project Assumptions'!$C31&gt;='Plant Results'!AN$4,1,0)</f>
        <v>0</v>
      </c>
      <c r="AO45" s="28">
        <f>AO29*$B45*IF($B29&lt;AO$4,1,0)*IF('Project Assumptions'!$E31+'Project Assumptions'!$C31&gt;='Plant Results'!AO$4,1,0)</f>
        <v>0</v>
      </c>
      <c r="AP45" s="28">
        <f>AP29*$B45*IF($B29&lt;AP$4,1,0)*IF('Project Assumptions'!$E31+'Project Assumptions'!$C31&gt;='Plant Results'!AP$4,1,0)</f>
        <v>0</v>
      </c>
      <c r="AQ45" s="28">
        <f>AQ29*$B45*IF($B29&lt;AQ$4,1,0)*IF('Project Assumptions'!$E31+'Project Assumptions'!$C31&gt;='Plant Results'!AQ$4,1,0)</f>
        <v>0</v>
      </c>
      <c r="AR45" s="28">
        <f>AR29*$B45*IF($B29&lt;AR$4,1,0)*IF('Project Assumptions'!$E31+'Project Assumptions'!$C31&gt;='Plant Results'!AR$4,1,0)</f>
        <v>0</v>
      </c>
      <c r="AS45" s="28">
        <f>AS29*$B45*IF($B29&lt;AS$4,1,0)*IF('Project Assumptions'!$E31+'Project Assumptions'!$C31&gt;='Plant Results'!AS$4,1,0)</f>
        <v>0</v>
      </c>
      <c r="AT45" s="28">
        <f>AT29*$B45*IF($B29&lt;AT$4,1,0)*IF('Project Assumptions'!$E31+'Project Assumptions'!$C31&gt;='Plant Results'!AT$4,1,0)</f>
        <v>0</v>
      </c>
      <c r="AU45" s="28">
        <f>AU29*$B45*IF($B29&lt;AU$4,1,0)*IF('Project Assumptions'!$E31+'Project Assumptions'!$C31&gt;='Plant Results'!AU$4,1,0)</f>
        <v>0</v>
      </c>
      <c r="AV45" s="28">
        <f>AV29*$B45*IF($B29&lt;AV$4,1,0)*IF('Project Assumptions'!$E31+'Project Assumptions'!$C31&gt;='Plant Results'!AV$4,1,0)</f>
        <v>0</v>
      </c>
      <c r="AW45" s="28">
        <f>AW29*$B45*IF($B29&lt;AW$4,1,0)*IF('Project Assumptions'!$E31+'Project Assumptions'!$C31&gt;='Plant Results'!AW$4,1,0)</f>
        <v>0</v>
      </c>
      <c r="AX45" s="28">
        <f>AX29*$B45*IF($B29&lt;AX$4,1,0)*IF('Project Assumptions'!$E31+'Project Assumptions'!$C31&gt;='Plant Results'!AX$4,1,0)</f>
        <v>0</v>
      </c>
      <c r="AY45" s="28">
        <f>AY29*$B45*IF($B29&lt;AY$4,1,0)*IF('Project Assumptions'!$E31+'Project Assumptions'!$C31&gt;='Plant Results'!AY$4,1,0)</f>
        <v>0</v>
      </c>
      <c r="AZ45" s="28">
        <f>AZ29*$B45*IF($B29&lt;AZ$4,1,0)*IF('Project Assumptions'!$E31+'Project Assumptions'!$C31&gt;='Plant Results'!AZ$4,1,0)</f>
        <v>0</v>
      </c>
      <c r="BA45" s="28">
        <f>BA29*$B45*IF($B29&lt;BA$4,1,0)*IF('Project Assumptions'!$E31+'Project Assumptions'!$C31&gt;='Plant Results'!BA$4,1,0)</f>
        <v>0</v>
      </c>
      <c r="BB45" s="28">
        <f>BB29*$B45*IF($B29&lt;BB$4,1,0)*IF('Project Assumptions'!$E31+'Project Assumptions'!$C31&gt;='Plant Results'!BB$4,1,0)</f>
        <v>0</v>
      </c>
      <c r="BC45" s="28">
        <f>BC29*$B45*IF($B29&lt;BC$4,1,0)*IF('Project Assumptions'!$E31+'Project Assumptions'!$C31&gt;='Plant Results'!BC$4,1,0)</f>
        <v>0</v>
      </c>
      <c r="BD45" s="28">
        <f>BD29*$B45*IF($B29&lt;BD$4,1,0)*IF('Project Assumptions'!$E31+'Project Assumptions'!$C31&gt;='Plant Results'!BD$4,1,0)</f>
        <v>0</v>
      </c>
      <c r="BE45" s="28">
        <f>BE29*$B45*IF($B29&lt;BE$4,1,0)*IF('Project Assumptions'!$E31+'Project Assumptions'!$C31&gt;='Plant Results'!BE$4,1,0)</f>
        <v>0</v>
      </c>
      <c r="BF45" s="28">
        <f>BF29*$B45*IF($B29&lt;BF$4,1,0)*IF('Project Assumptions'!$E31+'Project Assumptions'!$C31&gt;='Plant Results'!BF$4,1,0)</f>
        <v>0</v>
      </c>
      <c r="BG45" s="28">
        <f>BG29*$B45*IF($B29&lt;BG$4,1,0)*IF('Project Assumptions'!$E31+'Project Assumptions'!$C31&gt;='Plant Results'!BG$4,1,0)</f>
        <v>0</v>
      </c>
      <c r="BH45" s="28">
        <f>BH29*$B45*IF($B29&lt;BH$4,1,0)*IF('Project Assumptions'!$E31+'Project Assumptions'!$C31&gt;='Plant Results'!BH$4,1,0)</f>
        <v>0</v>
      </c>
      <c r="BI45" s="28">
        <f>BI29*$B45*IF($B29&lt;BI$4,1,0)*IF('Project Assumptions'!$E31+'Project Assumptions'!$C31&gt;='Plant Results'!BI$4,1,0)</f>
        <v>0</v>
      </c>
      <c r="BJ45" s="28">
        <f>BJ29*$B45*IF($B29&lt;BJ$4,1,0)*IF('Project Assumptions'!$E31+'Project Assumptions'!$C31&gt;='Plant Results'!BJ$4,1,0)</f>
        <v>0</v>
      </c>
      <c r="BK45" s="28">
        <f>BK29*$B45*IF($B29&lt;BK$4,1,0)*IF('Project Assumptions'!$E31+'Project Assumptions'!$C31&gt;='Plant Results'!BK$4,1,0)</f>
        <v>0</v>
      </c>
      <c r="BL45" s="28">
        <f t="shared" si="72"/>
        <v>75215573.442786634</v>
      </c>
      <c r="BM45" s="259">
        <f t="shared" si="71"/>
        <v>0</v>
      </c>
    </row>
    <row r="46" spans="1:65" ht="14.5" customHeight="1">
      <c r="A46" s="25" t="str">
        <f t="shared" si="70"/>
        <v>Capital Expenditure 8</v>
      </c>
      <c r="B46" s="35">
        <f>1/'Project Assumptions'!C32</f>
        <v>0.05</v>
      </c>
      <c r="C46" s="28">
        <f>C30*$B46*IF($B30&lt;C$4,1,0)*IF('Project Assumptions'!$E32+'Project Assumptions'!$C32&gt;='Plant Results'!C$4,1,0)</f>
        <v>0</v>
      </c>
      <c r="D46" s="28">
        <f>D30*$B46*IF($B30&lt;D$4,1,0)*IF('Project Assumptions'!$E32+'Project Assumptions'!$C32&gt;='Plant Results'!D$4,1,0)</f>
        <v>0</v>
      </c>
      <c r="E46" s="28">
        <f>E30*$B46*IF($B30&lt;E$4,1,0)*IF('Project Assumptions'!$E32+'Project Assumptions'!$C32&gt;='Plant Results'!E$4,1,0)</f>
        <v>0</v>
      </c>
      <c r="F46" s="28">
        <f>F30*$B46*IF($B30&lt;F$4,1,0)*IF('Project Assumptions'!$E32+'Project Assumptions'!$C32&gt;='Plant Results'!F$4,1,0)</f>
        <v>0</v>
      </c>
      <c r="G46" s="28">
        <f>G30*$B46*IF($B30&lt;G$4,1,0)*IF('Project Assumptions'!$E32+'Project Assumptions'!$C32&gt;='Plant Results'!G$4,1,0)</f>
        <v>0</v>
      </c>
      <c r="H46" s="28">
        <f>H30*$B46*IF($B30&lt;H$4,1,0)*IF('Project Assumptions'!$E32+'Project Assumptions'!$C32&gt;='Plant Results'!H$4,1,0)</f>
        <v>0</v>
      </c>
      <c r="I46" s="28">
        <f>I30*$B46*IF($B30&lt;I$4,1,0)*IF('Project Assumptions'!$E32+'Project Assumptions'!$C32&gt;='Plant Results'!I$4,1,0)</f>
        <v>0</v>
      </c>
      <c r="J46" s="28">
        <f>J30*$B46*IF($B30&lt;J$4,1,0)*IF('Project Assumptions'!$E32+'Project Assumptions'!$C32&gt;='Plant Results'!J$4,1,0)</f>
        <v>0</v>
      </c>
      <c r="K46" s="28">
        <f>K30*$B46*IF($B30&lt;K$4,1,0)*IF('Project Assumptions'!$E32+'Project Assumptions'!$C32&gt;='Plant Results'!K$4,1,0)</f>
        <v>0</v>
      </c>
      <c r="L46" s="28">
        <f>L30*$B46*IF($B30&lt;L$4,1,0)*IF('Project Assumptions'!$E32+'Project Assumptions'!$C32&gt;='Plant Results'!L$4,1,0)</f>
        <v>3249292.5144680301</v>
      </c>
      <c r="M46" s="28">
        <f>M30*$B46*IF($B30&lt;M$4,1,0)*IF('Project Assumptions'!$E32+'Project Assumptions'!$C32&gt;='Plant Results'!M$4,1,0)</f>
        <v>3249292.5144680301</v>
      </c>
      <c r="N46" s="28">
        <f>N30*$B46*IF($B30&lt;N$4,1,0)*IF('Project Assumptions'!$E32+'Project Assumptions'!$C32&gt;='Plant Results'!N$4,1,0)</f>
        <v>3249292.5144680301</v>
      </c>
      <c r="O46" s="28">
        <f>O30*$B46*IF($B30&lt;O$4,1,0)*IF('Project Assumptions'!$E32+'Project Assumptions'!$C32&gt;='Plant Results'!O$4,1,0)</f>
        <v>3249292.5144680301</v>
      </c>
      <c r="P46" s="28">
        <f>P30*$B46*IF($B30&lt;P$4,1,0)*IF('Project Assumptions'!$E32+'Project Assumptions'!$C32&gt;='Plant Results'!P$4,1,0)</f>
        <v>3249292.5144680301</v>
      </c>
      <c r="Q46" s="28">
        <f>Q30*$B46*IF($B30&lt;Q$4,1,0)*IF('Project Assumptions'!$E32+'Project Assumptions'!$C32&gt;='Plant Results'!Q$4,1,0)</f>
        <v>3249292.5144680301</v>
      </c>
      <c r="R46" s="28">
        <f>R30*$B46*IF($B30&lt;R$4,1,0)*IF('Project Assumptions'!$E32+'Project Assumptions'!$C32&gt;='Plant Results'!R$4,1,0)</f>
        <v>3249292.5144680301</v>
      </c>
      <c r="S46" s="28">
        <f>S30*$B46*IF($B30&lt;S$4,1,0)*IF('Project Assumptions'!$E32+'Project Assumptions'!$C32&gt;='Plant Results'!S$4,1,0)</f>
        <v>3249292.5144680301</v>
      </c>
      <c r="T46" s="28">
        <f>T30*$B46*IF($B30&lt;T$4,1,0)*IF('Project Assumptions'!$E32+'Project Assumptions'!$C32&gt;='Plant Results'!T$4,1,0)</f>
        <v>3249292.5144680301</v>
      </c>
      <c r="U46" s="28">
        <f>U30*$B46*IF($B30&lt;U$4,1,0)*IF('Project Assumptions'!$E32+'Project Assumptions'!$C32&gt;='Plant Results'!U$4,1,0)</f>
        <v>3249292.5144680301</v>
      </c>
      <c r="V46" s="28">
        <f>V30*$B46*IF($B30&lt;V$4,1,0)*IF('Project Assumptions'!$E32+'Project Assumptions'!$C32&gt;='Plant Results'!V$4,1,0)</f>
        <v>3249292.5144680301</v>
      </c>
      <c r="W46" s="28">
        <f>W30*$B46*IF($B30&lt;W$4,1,0)*IF('Project Assumptions'!$E32+'Project Assumptions'!$C32&gt;='Plant Results'!W$4,1,0)</f>
        <v>3249292.5144680301</v>
      </c>
      <c r="X46" s="28">
        <f>X30*$B46*IF($B30&lt;X$4,1,0)*IF('Project Assumptions'!$E32+'Project Assumptions'!$C32&gt;='Plant Results'!X$4,1,0)</f>
        <v>3249292.5144680301</v>
      </c>
      <c r="Y46" s="28">
        <f>Y30*$B46*IF($B30&lt;Y$4,1,0)*IF('Project Assumptions'!$E32+'Project Assumptions'!$C32&gt;='Plant Results'!Y$4,1,0)</f>
        <v>3249292.5144680301</v>
      </c>
      <c r="Z46" s="28">
        <f>Z30*$B46*IF($B30&lt;Z$4,1,0)*IF('Project Assumptions'!$E32+'Project Assumptions'!$C32&gt;='Plant Results'!Z$4,1,0)</f>
        <v>3249292.5144680301</v>
      </c>
      <c r="AA46" s="28">
        <f>AA30*$B46*IF($B30&lt;AA$4,1,0)*IF('Project Assumptions'!$E32+'Project Assumptions'!$C32&gt;='Plant Results'!AA$4,1,0)</f>
        <v>3249292.5144680301</v>
      </c>
      <c r="AB46" s="28">
        <f>AB30*$B46*IF($B30&lt;AB$4,1,0)*IF('Project Assumptions'!$E32+'Project Assumptions'!$C32&gt;='Plant Results'!AB$4,1,0)</f>
        <v>3249292.5144680301</v>
      </c>
      <c r="AC46" s="28">
        <f>AC30*$B46*IF($B30&lt;AC$4,1,0)*IF('Project Assumptions'!$E32+'Project Assumptions'!$C32&gt;='Plant Results'!AC$4,1,0)</f>
        <v>3249292.5144680301</v>
      </c>
      <c r="AD46" s="28">
        <f>AD30*$B46*IF($B30&lt;AD$4,1,0)*IF('Project Assumptions'!$E32+'Project Assumptions'!$C32&gt;='Plant Results'!AD$4,1,0)</f>
        <v>3249292.5144680301</v>
      </c>
      <c r="AE46" s="28">
        <f>AE30*$B46*IF($B30&lt;AE$4,1,0)*IF('Project Assumptions'!$E32+'Project Assumptions'!$C32&gt;='Plant Results'!AE$4,1,0)</f>
        <v>3249292.5144680301</v>
      </c>
      <c r="AF46" s="28">
        <f>AF30*$B46*IF($B30&lt;AF$4,1,0)*IF('Project Assumptions'!$E32+'Project Assumptions'!$C32&gt;='Plant Results'!AF$4,1,0)</f>
        <v>0</v>
      </c>
      <c r="AG46" s="28">
        <f>AG30*$B46*IF($B30&lt;AG$4,1,0)*IF('Project Assumptions'!$E32+'Project Assumptions'!$C32&gt;='Plant Results'!AG$4,1,0)</f>
        <v>0</v>
      </c>
      <c r="AH46" s="28">
        <f>AH30*$B46*IF($B30&lt;AH$4,1,0)*IF('Project Assumptions'!$E32+'Project Assumptions'!$C32&gt;='Plant Results'!AH$4,1,0)</f>
        <v>0</v>
      </c>
      <c r="AI46" s="28">
        <f>AI30*$B46*IF($B30&lt;AI$4,1,0)*IF('Project Assumptions'!$E32+'Project Assumptions'!$C32&gt;='Plant Results'!AI$4,1,0)</f>
        <v>0</v>
      </c>
      <c r="AJ46" s="28">
        <f>AJ30*$B46*IF($B30&lt;AJ$4,1,0)*IF('Project Assumptions'!$E32+'Project Assumptions'!$C32&gt;='Plant Results'!AJ$4,1,0)</f>
        <v>0</v>
      </c>
      <c r="AK46" s="28">
        <f>AK30*$B46*IF($B30&lt;AK$4,1,0)*IF('Project Assumptions'!$E32+'Project Assumptions'!$C32&gt;='Plant Results'!AK$4,1,0)</f>
        <v>0</v>
      </c>
      <c r="AL46" s="28">
        <f>AL30*$B46*IF($B30&lt;AL$4,1,0)*IF('Project Assumptions'!$E32+'Project Assumptions'!$C32&gt;='Plant Results'!AL$4,1,0)</f>
        <v>0</v>
      </c>
      <c r="AM46" s="28">
        <f>AM30*$B46*IF($B30&lt;AM$4,1,0)*IF('Project Assumptions'!$E32+'Project Assumptions'!$C32&gt;='Plant Results'!AM$4,1,0)</f>
        <v>0</v>
      </c>
      <c r="AN46" s="28">
        <f>AN30*$B46*IF($B30&lt;AN$4,1,0)*IF('Project Assumptions'!$E32+'Project Assumptions'!$C32&gt;='Plant Results'!AN$4,1,0)</f>
        <v>0</v>
      </c>
      <c r="AO46" s="28">
        <f>AO30*$B46*IF($B30&lt;AO$4,1,0)*IF('Project Assumptions'!$E32+'Project Assumptions'!$C32&gt;='Plant Results'!AO$4,1,0)</f>
        <v>0</v>
      </c>
      <c r="AP46" s="28">
        <f>AP30*$B46*IF($B30&lt;AP$4,1,0)*IF('Project Assumptions'!$E32+'Project Assumptions'!$C32&gt;='Plant Results'!AP$4,1,0)</f>
        <v>0</v>
      </c>
      <c r="AQ46" s="28">
        <f>AQ30*$B46*IF($B30&lt;AQ$4,1,0)*IF('Project Assumptions'!$E32+'Project Assumptions'!$C32&gt;='Plant Results'!AQ$4,1,0)</f>
        <v>0</v>
      </c>
      <c r="AR46" s="28">
        <f>AR30*$B46*IF($B30&lt;AR$4,1,0)*IF('Project Assumptions'!$E32+'Project Assumptions'!$C32&gt;='Plant Results'!AR$4,1,0)</f>
        <v>0</v>
      </c>
      <c r="AS46" s="28">
        <f>AS30*$B46*IF($B30&lt;AS$4,1,0)*IF('Project Assumptions'!$E32+'Project Assumptions'!$C32&gt;='Plant Results'!AS$4,1,0)</f>
        <v>0</v>
      </c>
      <c r="AT46" s="28">
        <f>AT30*$B46*IF($B30&lt;AT$4,1,0)*IF('Project Assumptions'!$E32+'Project Assumptions'!$C32&gt;='Plant Results'!AT$4,1,0)</f>
        <v>0</v>
      </c>
      <c r="AU46" s="28">
        <f>AU30*$B46*IF($B30&lt;AU$4,1,0)*IF('Project Assumptions'!$E32+'Project Assumptions'!$C32&gt;='Plant Results'!AU$4,1,0)</f>
        <v>0</v>
      </c>
      <c r="AV46" s="28">
        <f>AV30*$B46*IF($B30&lt;AV$4,1,0)*IF('Project Assumptions'!$E32+'Project Assumptions'!$C32&gt;='Plant Results'!AV$4,1,0)</f>
        <v>0</v>
      </c>
      <c r="AW46" s="28">
        <f>AW30*$B46*IF($B30&lt;AW$4,1,0)*IF('Project Assumptions'!$E32+'Project Assumptions'!$C32&gt;='Plant Results'!AW$4,1,0)</f>
        <v>0</v>
      </c>
      <c r="AX46" s="28">
        <f>AX30*$B46*IF($B30&lt;AX$4,1,0)*IF('Project Assumptions'!$E32+'Project Assumptions'!$C32&gt;='Plant Results'!AX$4,1,0)</f>
        <v>0</v>
      </c>
      <c r="AY46" s="28">
        <f>AY30*$B46*IF($B30&lt;AY$4,1,0)*IF('Project Assumptions'!$E32+'Project Assumptions'!$C32&gt;='Plant Results'!AY$4,1,0)</f>
        <v>0</v>
      </c>
      <c r="AZ46" s="28">
        <f>AZ30*$B46*IF($B30&lt;AZ$4,1,0)*IF('Project Assumptions'!$E32+'Project Assumptions'!$C32&gt;='Plant Results'!AZ$4,1,0)</f>
        <v>0</v>
      </c>
      <c r="BA46" s="28">
        <f>BA30*$B46*IF($B30&lt;BA$4,1,0)*IF('Project Assumptions'!$E32+'Project Assumptions'!$C32&gt;='Plant Results'!BA$4,1,0)</f>
        <v>0</v>
      </c>
      <c r="BB46" s="28">
        <f>BB30*$B46*IF($B30&lt;BB$4,1,0)*IF('Project Assumptions'!$E32+'Project Assumptions'!$C32&gt;='Plant Results'!BB$4,1,0)</f>
        <v>0</v>
      </c>
      <c r="BC46" s="28">
        <f>BC30*$B46*IF($B30&lt;BC$4,1,0)*IF('Project Assumptions'!$E32+'Project Assumptions'!$C32&gt;='Plant Results'!BC$4,1,0)</f>
        <v>0</v>
      </c>
      <c r="BD46" s="28">
        <f>BD30*$B46*IF($B30&lt;BD$4,1,0)*IF('Project Assumptions'!$E32+'Project Assumptions'!$C32&gt;='Plant Results'!BD$4,1,0)</f>
        <v>0</v>
      </c>
      <c r="BE46" s="28">
        <f>BE30*$B46*IF($B30&lt;BE$4,1,0)*IF('Project Assumptions'!$E32+'Project Assumptions'!$C32&gt;='Plant Results'!BE$4,1,0)</f>
        <v>0</v>
      </c>
      <c r="BF46" s="28">
        <f>BF30*$B46*IF($B30&lt;BF$4,1,0)*IF('Project Assumptions'!$E32+'Project Assumptions'!$C32&gt;='Plant Results'!BF$4,1,0)</f>
        <v>0</v>
      </c>
      <c r="BG46" s="28">
        <f>BG30*$B46*IF($B30&lt;BG$4,1,0)*IF('Project Assumptions'!$E32+'Project Assumptions'!$C32&gt;='Plant Results'!BG$4,1,0)</f>
        <v>0</v>
      </c>
      <c r="BH46" s="28">
        <f>BH30*$B46*IF($B30&lt;BH$4,1,0)*IF('Project Assumptions'!$E32+'Project Assumptions'!$C32&gt;='Plant Results'!BH$4,1,0)</f>
        <v>0</v>
      </c>
      <c r="BI46" s="28">
        <f>BI30*$B46*IF($B30&lt;BI$4,1,0)*IF('Project Assumptions'!$E32+'Project Assumptions'!$C32&gt;='Plant Results'!BI$4,1,0)</f>
        <v>0</v>
      </c>
      <c r="BJ46" s="28">
        <f>BJ30*$B46*IF($B30&lt;BJ$4,1,0)*IF('Project Assumptions'!$E32+'Project Assumptions'!$C32&gt;='Plant Results'!BJ$4,1,0)</f>
        <v>0</v>
      </c>
      <c r="BK46" s="28">
        <f>BK30*$B46*IF($B30&lt;BK$4,1,0)*IF('Project Assumptions'!$E32+'Project Assumptions'!$C32&gt;='Plant Results'!BK$4,1,0)</f>
        <v>0</v>
      </c>
      <c r="BL46" s="28">
        <f t="shared" ref="BL46" si="73">SUM(C46:BK46)</f>
        <v>64985850.28936059</v>
      </c>
      <c r="BM46" s="259">
        <f t="shared" ref="BM46" si="74">BL46-BL62</f>
        <v>-8038978.2958691195</v>
      </c>
    </row>
    <row r="47" spans="1:65" ht="14.5" customHeight="1">
      <c r="A47" s="25" t="str">
        <f t="shared" si="70"/>
        <v>Capital Expenditure 9</v>
      </c>
      <c r="B47" s="35">
        <f>1/'Project Assumptions'!C33</f>
        <v>0.05</v>
      </c>
      <c r="C47" s="28">
        <f>C31*$B47*IF($B31&lt;C$4,1,0)*IF('Project Assumptions'!$E33+'Project Assumptions'!$C33&gt;='Plant Results'!C$4,1,0)</f>
        <v>0</v>
      </c>
      <c r="D47" s="28">
        <f>D31*$B47*IF($B31&lt;D$4,1,0)*IF('Project Assumptions'!$E33+'Project Assumptions'!$C33&gt;='Plant Results'!D$4,1,0)</f>
        <v>0</v>
      </c>
      <c r="E47" s="28">
        <f>E31*$B47*IF($B31&lt;E$4,1,0)*IF('Project Assumptions'!$E33+'Project Assumptions'!$C33&gt;='Plant Results'!E$4,1,0)</f>
        <v>0</v>
      </c>
      <c r="F47" s="28">
        <f>F31*$B47*IF($B31&lt;F$4,1,0)*IF('Project Assumptions'!$E33+'Project Assumptions'!$C33&gt;='Plant Results'!F$4,1,0)</f>
        <v>0</v>
      </c>
      <c r="G47" s="28">
        <f>G31*$B47*IF($B31&lt;G$4,1,0)*IF('Project Assumptions'!$E33+'Project Assumptions'!$C33&gt;='Plant Results'!G$4,1,0)</f>
        <v>0</v>
      </c>
      <c r="H47" s="28">
        <f>H31*$B47*IF($B31&lt;H$4,1,0)*IF('Project Assumptions'!$E33+'Project Assumptions'!$C33&gt;='Plant Results'!H$4,1,0)</f>
        <v>0</v>
      </c>
      <c r="I47" s="28">
        <f>I31*$B47*IF($B31&lt;I$4,1,0)*IF('Project Assumptions'!$E33+'Project Assumptions'!$C33&gt;='Plant Results'!I$4,1,0)</f>
        <v>0</v>
      </c>
      <c r="J47" s="28">
        <f>J31*$B47*IF($B31&lt;J$4,1,0)*IF('Project Assumptions'!$E33+'Project Assumptions'!$C33&gt;='Plant Results'!J$4,1,0)</f>
        <v>0</v>
      </c>
      <c r="K47" s="28">
        <f>K31*$B47*IF($B31&lt;K$4,1,0)*IF('Project Assumptions'!$E33+'Project Assumptions'!$C33&gt;='Plant Results'!K$4,1,0)</f>
        <v>0</v>
      </c>
      <c r="L47" s="28">
        <f>L31*$B47*IF($B31&lt;L$4,1,0)*IF('Project Assumptions'!$E33+'Project Assumptions'!$C33&gt;='Plant Results'!L$4,1,0)</f>
        <v>0</v>
      </c>
      <c r="M47" s="28">
        <f>M31*$B47*IF($B31&lt;M$4,1,0)*IF('Project Assumptions'!$E33+'Project Assumptions'!$C33&gt;='Plant Results'!M$4,1,0)</f>
        <v>31719.014776934702</v>
      </c>
      <c r="N47" s="28">
        <f>N31*$B47*IF($B31&lt;N$4,1,0)*IF('Project Assumptions'!$E33+'Project Assumptions'!$C33&gt;='Plant Results'!N$4,1,0)</f>
        <v>31719.014776934702</v>
      </c>
      <c r="O47" s="28">
        <f>O31*$B47*IF($B31&lt;O$4,1,0)*IF('Project Assumptions'!$E33+'Project Assumptions'!$C33&gt;='Plant Results'!O$4,1,0)</f>
        <v>31719.014776934702</v>
      </c>
      <c r="P47" s="28">
        <f>P31*$B47*IF($B31&lt;P$4,1,0)*IF('Project Assumptions'!$E33+'Project Assumptions'!$C33&gt;='Plant Results'!P$4,1,0)</f>
        <v>31719.014776934702</v>
      </c>
      <c r="Q47" s="28">
        <f>Q31*$B47*IF($B31&lt;Q$4,1,0)*IF('Project Assumptions'!$E33+'Project Assumptions'!$C33&gt;='Plant Results'!Q$4,1,0)</f>
        <v>31719.014776934702</v>
      </c>
      <c r="R47" s="28">
        <f>R31*$B47*IF($B31&lt;R$4,1,0)*IF('Project Assumptions'!$E33+'Project Assumptions'!$C33&gt;='Plant Results'!R$4,1,0)</f>
        <v>31719.014776934702</v>
      </c>
      <c r="S47" s="28">
        <f>S31*$B47*IF($B31&lt;S$4,1,0)*IF('Project Assumptions'!$E33+'Project Assumptions'!$C33&gt;='Plant Results'!S$4,1,0)</f>
        <v>31719.014776934702</v>
      </c>
      <c r="T47" s="28">
        <f>T31*$B47*IF($B31&lt;T$4,1,0)*IF('Project Assumptions'!$E33+'Project Assumptions'!$C33&gt;='Plant Results'!T$4,1,0)</f>
        <v>31719.014776934702</v>
      </c>
      <c r="U47" s="28">
        <f>U31*$B47*IF($B31&lt;U$4,1,0)*IF('Project Assumptions'!$E33+'Project Assumptions'!$C33&gt;='Plant Results'!U$4,1,0)</f>
        <v>31719.014776934702</v>
      </c>
      <c r="V47" s="28">
        <f>V31*$B47*IF($B31&lt;V$4,1,0)*IF('Project Assumptions'!$E33+'Project Assumptions'!$C33&gt;='Plant Results'!V$4,1,0)</f>
        <v>31719.014776934702</v>
      </c>
      <c r="W47" s="28">
        <f>W31*$B47*IF($B31&lt;W$4,1,0)*IF('Project Assumptions'!$E33+'Project Assumptions'!$C33&gt;='Plant Results'!W$4,1,0)</f>
        <v>31719.014776934702</v>
      </c>
      <c r="X47" s="28">
        <f>X31*$B47*IF($B31&lt;X$4,1,0)*IF('Project Assumptions'!$E33+'Project Assumptions'!$C33&gt;='Plant Results'!X$4,1,0)</f>
        <v>31719.014776934702</v>
      </c>
      <c r="Y47" s="28">
        <f>Y31*$B47*IF($B31&lt;Y$4,1,0)*IF('Project Assumptions'!$E33+'Project Assumptions'!$C33&gt;='Plant Results'!Y$4,1,0)</f>
        <v>31719.014776934702</v>
      </c>
      <c r="Z47" s="28">
        <f>Z31*$B47*IF($B31&lt;Z$4,1,0)*IF('Project Assumptions'!$E33+'Project Assumptions'!$C33&gt;='Plant Results'!Z$4,1,0)</f>
        <v>31719.014776934702</v>
      </c>
      <c r="AA47" s="28">
        <f>AA31*$B47*IF($B31&lt;AA$4,1,0)*IF('Project Assumptions'!$E33+'Project Assumptions'!$C33&gt;='Plant Results'!AA$4,1,0)</f>
        <v>31719.014776934702</v>
      </c>
      <c r="AB47" s="28">
        <f>AB31*$B47*IF($B31&lt;AB$4,1,0)*IF('Project Assumptions'!$E33+'Project Assumptions'!$C33&gt;='Plant Results'!AB$4,1,0)</f>
        <v>31719.014776934702</v>
      </c>
      <c r="AC47" s="28">
        <f>AC31*$B47*IF($B31&lt;AC$4,1,0)*IF('Project Assumptions'!$E33+'Project Assumptions'!$C33&gt;='Plant Results'!AC$4,1,0)</f>
        <v>31719.014776934702</v>
      </c>
      <c r="AD47" s="28">
        <f>AD31*$B47*IF($B31&lt;AD$4,1,0)*IF('Project Assumptions'!$E33+'Project Assumptions'!$C33&gt;='Plant Results'!AD$4,1,0)</f>
        <v>31719.014776934702</v>
      </c>
      <c r="AE47" s="28">
        <f>AE31*$B47*IF($B31&lt;AE$4,1,0)*IF('Project Assumptions'!$E33+'Project Assumptions'!$C33&gt;='Plant Results'!AE$4,1,0)</f>
        <v>31719.014776934702</v>
      </c>
      <c r="AF47" s="28">
        <f>AF31*$B47*IF($B31&lt;AF$4,1,0)*IF('Project Assumptions'!$E33+'Project Assumptions'!$C33&gt;='Plant Results'!AF$4,1,0)</f>
        <v>31719.014776934702</v>
      </c>
      <c r="AG47" s="28">
        <f>AG31*$B47*IF($B31&lt;AG$4,1,0)*IF('Project Assumptions'!$E33+'Project Assumptions'!$C33&gt;='Plant Results'!AG$4,1,0)</f>
        <v>0</v>
      </c>
      <c r="AH47" s="28">
        <f>AH31*$B47*IF($B31&lt;AH$4,1,0)*IF('Project Assumptions'!$E33+'Project Assumptions'!$C33&gt;='Plant Results'!AH$4,1,0)</f>
        <v>0</v>
      </c>
      <c r="AI47" s="28">
        <f>AI31*$B47*IF($B31&lt;AI$4,1,0)*IF('Project Assumptions'!$E33+'Project Assumptions'!$C33&gt;='Plant Results'!AI$4,1,0)</f>
        <v>0</v>
      </c>
      <c r="AJ47" s="28">
        <f>AJ31*$B47*IF($B31&lt;AJ$4,1,0)*IF('Project Assumptions'!$E33+'Project Assumptions'!$C33&gt;='Plant Results'!AJ$4,1,0)</f>
        <v>0</v>
      </c>
      <c r="AK47" s="28">
        <f>AK31*$B47*IF($B31&lt;AK$4,1,0)*IF('Project Assumptions'!$E33+'Project Assumptions'!$C33&gt;='Plant Results'!AK$4,1,0)</f>
        <v>0</v>
      </c>
      <c r="AL47" s="28">
        <f>AL31*$B47*IF($B31&lt;AL$4,1,0)*IF('Project Assumptions'!$E33+'Project Assumptions'!$C33&gt;='Plant Results'!AL$4,1,0)</f>
        <v>0</v>
      </c>
      <c r="AM47" s="28">
        <f>AM31*$B47*IF($B31&lt;AM$4,1,0)*IF('Project Assumptions'!$E33+'Project Assumptions'!$C33&gt;='Plant Results'!AM$4,1,0)</f>
        <v>0</v>
      </c>
      <c r="AN47" s="28">
        <f>AN31*$B47*IF($B31&lt;AN$4,1,0)*IF('Project Assumptions'!$E33+'Project Assumptions'!$C33&gt;='Plant Results'!AN$4,1,0)</f>
        <v>0</v>
      </c>
      <c r="AO47" s="28">
        <f>AO31*$B47*IF($B31&lt;AO$4,1,0)*IF('Project Assumptions'!$E33+'Project Assumptions'!$C33&gt;='Plant Results'!AO$4,1,0)</f>
        <v>0</v>
      </c>
      <c r="AP47" s="28">
        <f>AP31*$B47*IF($B31&lt;AP$4,1,0)*IF('Project Assumptions'!$E33+'Project Assumptions'!$C33&gt;='Plant Results'!AP$4,1,0)</f>
        <v>0</v>
      </c>
      <c r="AQ47" s="28">
        <f>AQ31*$B47*IF($B31&lt;AQ$4,1,0)*IF('Project Assumptions'!$E33+'Project Assumptions'!$C33&gt;='Plant Results'!AQ$4,1,0)</f>
        <v>0</v>
      </c>
      <c r="AR47" s="28">
        <f>AR31*$B47*IF($B31&lt;AR$4,1,0)*IF('Project Assumptions'!$E33+'Project Assumptions'!$C33&gt;='Plant Results'!AR$4,1,0)</f>
        <v>0</v>
      </c>
      <c r="AS47" s="28">
        <f>AS31*$B47*IF($B31&lt;AS$4,1,0)*IF('Project Assumptions'!$E33+'Project Assumptions'!$C33&gt;='Plant Results'!AS$4,1,0)</f>
        <v>0</v>
      </c>
      <c r="AT47" s="28">
        <f>AT31*$B47*IF($B31&lt;AT$4,1,0)*IF('Project Assumptions'!$E33+'Project Assumptions'!$C33&gt;='Plant Results'!AT$4,1,0)</f>
        <v>0</v>
      </c>
      <c r="AU47" s="28">
        <f>AU31*$B47*IF($B31&lt;AU$4,1,0)*IF('Project Assumptions'!$E33+'Project Assumptions'!$C33&gt;='Plant Results'!AU$4,1,0)</f>
        <v>0</v>
      </c>
      <c r="AV47" s="28">
        <f>AV31*$B47*IF($B31&lt;AV$4,1,0)*IF('Project Assumptions'!$E33+'Project Assumptions'!$C33&gt;='Plant Results'!AV$4,1,0)</f>
        <v>0</v>
      </c>
      <c r="AW47" s="28">
        <f>AW31*$B47*IF($B31&lt;AW$4,1,0)*IF('Project Assumptions'!$E33+'Project Assumptions'!$C33&gt;='Plant Results'!AW$4,1,0)</f>
        <v>0</v>
      </c>
      <c r="AX47" s="28">
        <f>AX31*$B47*IF($B31&lt;AX$4,1,0)*IF('Project Assumptions'!$E33+'Project Assumptions'!$C33&gt;='Plant Results'!AX$4,1,0)</f>
        <v>0</v>
      </c>
      <c r="AY47" s="28">
        <f>AY31*$B47*IF($B31&lt;AY$4,1,0)*IF('Project Assumptions'!$E33+'Project Assumptions'!$C33&gt;='Plant Results'!AY$4,1,0)</f>
        <v>0</v>
      </c>
      <c r="AZ47" s="28">
        <f>AZ31*$B47*IF($B31&lt;AZ$4,1,0)*IF('Project Assumptions'!$E33+'Project Assumptions'!$C33&gt;='Plant Results'!AZ$4,1,0)</f>
        <v>0</v>
      </c>
      <c r="BA47" s="28">
        <f>BA31*$B47*IF($B31&lt;BA$4,1,0)*IF('Project Assumptions'!$E33+'Project Assumptions'!$C33&gt;='Plant Results'!BA$4,1,0)</f>
        <v>0</v>
      </c>
      <c r="BB47" s="28">
        <f>BB31*$B47*IF($B31&lt;BB$4,1,0)*IF('Project Assumptions'!$E33+'Project Assumptions'!$C33&gt;='Plant Results'!BB$4,1,0)</f>
        <v>0</v>
      </c>
      <c r="BC47" s="28">
        <f>BC31*$B47*IF($B31&lt;BC$4,1,0)*IF('Project Assumptions'!$E33+'Project Assumptions'!$C33&gt;='Plant Results'!BC$4,1,0)</f>
        <v>0</v>
      </c>
      <c r="BD47" s="28">
        <f>BD31*$B47*IF($B31&lt;BD$4,1,0)*IF('Project Assumptions'!$E33+'Project Assumptions'!$C33&gt;='Plant Results'!BD$4,1,0)</f>
        <v>0</v>
      </c>
      <c r="BE47" s="28">
        <f>BE31*$B47*IF($B31&lt;BE$4,1,0)*IF('Project Assumptions'!$E33+'Project Assumptions'!$C33&gt;='Plant Results'!BE$4,1,0)</f>
        <v>0</v>
      </c>
      <c r="BF47" s="28">
        <f>BF31*$B47*IF($B31&lt;BF$4,1,0)*IF('Project Assumptions'!$E33+'Project Assumptions'!$C33&gt;='Plant Results'!BF$4,1,0)</f>
        <v>0</v>
      </c>
      <c r="BG47" s="28">
        <f>BG31*$B47*IF($B31&lt;BG$4,1,0)*IF('Project Assumptions'!$E33+'Project Assumptions'!$C33&gt;='Plant Results'!BG$4,1,0)</f>
        <v>0</v>
      </c>
      <c r="BH47" s="28">
        <f>BH31*$B47*IF($B31&lt;BH$4,1,0)*IF('Project Assumptions'!$E33+'Project Assumptions'!$C33&gt;='Plant Results'!BH$4,1,0)</f>
        <v>0</v>
      </c>
      <c r="BI47" s="28">
        <f>BI31*$B47*IF($B31&lt;BI$4,1,0)*IF('Project Assumptions'!$E33+'Project Assumptions'!$C33&gt;='Plant Results'!BI$4,1,0)</f>
        <v>0</v>
      </c>
      <c r="BJ47" s="28">
        <f>BJ31*$B47*IF($B31&lt;BJ$4,1,0)*IF('Project Assumptions'!$E33+'Project Assumptions'!$C33&gt;='Plant Results'!BJ$4,1,0)</f>
        <v>0</v>
      </c>
      <c r="BK47" s="28">
        <f>BK31*$B47*IF($B31&lt;BK$4,1,0)*IF('Project Assumptions'!$E33+'Project Assumptions'!$C33&gt;='Plant Results'!BK$4,1,0)</f>
        <v>0</v>
      </c>
      <c r="BL47" s="28">
        <f t="shared" ref="BL47" si="75">SUM(C47:BK47)</f>
        <v>634380.29553869413</v>
      </c>
      <c r="BM47" s="259">
        <f t="shared" ref="BM47" si="76">BL47-BL63</f>
        <v>-74581193.147247925</v>
      </c>
    </row>
    <row r="48" spans="1:65" ht="14.5" customHeight="1">
      <c r="A48" s="25" t="str">
        <f t="shared" si="70"/>
        <v>Capital Expenditure 10</v>
      </c>
      <c r="B48" s="35">
        <f>1/'Project Assumptions'!C34</f>
        <v>0.05</v>
      </c>
      <c r="C48" s="28">
        <f>C32*$B48*IF($B32&lt;C$4,1,0)*IF('Project Assumptions'!$E34+'Project Assumptions'!$C34&gt;='Plant Results'!C$4,1,0)</f>
        <v>0</v>
      </c>
      <c r="D48" s="28">
        <f>D32*$B48*IF($B32&lt;D$4,1,0)*IF('Project Assumptions'!$E34+'Project Assumptions'!$C34&gt;='Plant Results'!D$4,1,0)</f>
        <v>0</v>
      </c>
      <c r="E48" s="28">
        <f>E32*$B48*IF($B32&lt;E$4,1,0)*IF('Project Assumptions'!$E34+'Project Assumptions'!$C34&gt;='Plant Results'!E$4,1,0)</f>
        <v>0</v>
      </c>
      <c r="F48" s="28">
        <f>F32*$B48*IF($B32&lt;F$4,1,0)*IF('Project Assumptions'!$E34+'Project Assumptions'!$C34&gt;='Plant Results'!F$4,1,0)</f>
        <v>0</v>
      </c>
      <c r="G48" s="28">
        <f>G32*$B48*IF($B32&lt;G$4,1,0)*IF('Project Assumptions'!$E34+'Project Assumptions'!$C34&gt;='Plant Results'!G$4,1,0)</f>
        <v>0</v>
      </c>
      <c r="H48" s="28">
        <f>H32*$B48*IF($B32&lt;H$4,1,0)*IF('Project Assumptions'!$E34+'Project Assumptions'!$C34&gt;='Plant Results'!H$4,1,0)</f>
        <v>0</v>
      </c>
      <c r="I48" s="28">
        <f>I32*$B48*IF($B32&lt;I$4,1,0)*IF('Project Assumptions'!$E34+'Project Assumptions'!$C34&gt;='Plant Results'!I$4,1,0)</f>
        <v>0</v>
      </c>
      <c r="J48" s="28">
        <f>J32*$B48*IF($B32&lt;J$4,1,0)*IF('Project Assumptions'!$E34+'Project Assumptions'!$C34&gt;='Plant Results'!J$4,1,0)</f>
        <v>0</v>
      </c>
      <c r="K48" s="28">
        <f>K32*$B48*IF($B32&lt;K$4,1,0)*IF('Project Assumptions'!$E34+'Project Assumptions'!$C34&gt;='Plant Results'!K$4,1,0)</f>
        <v>0</v>
      </c>
      <c r="L48" s="28">
        <f>L32*$B48*IF($B32&lt;L$4,1,0)*IF('Project Assumptions'!$E34+'Project Assumptions'!$C34&gt;='Plant Results'!L$4,1,0)</f>
        <v>0</v>
      </c>
      <c r="M48" s="28">
        <f>M32*$B48*IF($B32&lt;M$4,1,0)*IF('Project Assumptions'!$E34+'Project Assumptions'!$C34&gt;='Plant Results'!M$4,1,0)</f>
        <v>0</v>
      </c>
      <c r="N48" s="28">
        <f>N32*$B48*IF($B32&lt;N$4,1,0)*IF('Project Assumptions'!$E34+'Project Assumptions'!$C34&gt;='Plant Results'!N$4,1,0)</f>
        <v>27075.939698723996</v>
      </c>
      <c r="O48" s="28">
        <f>O32*$B48*IF($B32&lt;O$4,1,0)*IF('Project Assumptions'!$E34+'Project Assumptions'!$C34&gt;='Plant Results'!O$4,1,0)</f>
        <v>27075.939698723996</v>
      </c>
      <c r="P48" s="28">
        <f>P32*$B48*IF($B32&lt;P$4,1,0)*IF('Project Assumptions'!$E34+'Project Assumptions'!$C34&gt;='Plant Results'!P$4,1,0)</f>
        <v>27075.939698723996</v>
      </c>
      <c r="Q48" s="28">
        <f>Q32*$B48*IF($B32&lt;Q$4,1,0)*IF('Project Assumptions'!$E34+'Project Assumptions'!$C34&gt;='Plant Results'!Q$4,1,0)</f>
        <v>27075.939698723996</v>
      </c>
      <c r="R48" s="28">
        <f>R32*$B48*IF($B32&lt;R$4,1,0)*IF('Project Assumptions'!$E34+'Project Assumptions'!$C34&gt;='Plant Results'!R$4,1,0)</f>
        <v>27075.939698723996</v>
      </c>
      <c r="S48" s="28">
        <f>S32*$B48*IF($B32&lt;S$4,1,0)*IF('Project Assumptions'!$E34+'Project Assumptions'!$C34&gt;='Plant Results'!S$4,1,0)</f>
        <v>27075.939698723996</v>
      </c>
      <c r="T48" s="28">
        <f>T32*$B48*IF($B32&lt;T$4,1,0)*IF('Project Assumptions'!$E34+'Project Assumptions'!$C34&gt;='Plant Results'!T$4,1,0)</f>
        <v>27075.939698723996</v>
      </c>
      <c r="U48" s="28">
        <f>U32*$B48*IF($B32&lt;U$4,1,0)*IF('Project Assumptions'!$E34+'Project Assumptions'!$C34&gt;='Plant Results'!U$4,1,0)</f>
        <v>27075.939698723996</v>
      </c>
      <c r="V48" s="28">
        <f>V32*$B48*IF($B32&lt;V$4,1,0)*IF('Project Assumptions'!$E34+'Project Assumptions'!$C34&gt;='Plant Results'!V$4,1,0)</f>
        <v>27075.939698723996</v>
      </c>
      <c r="W48" s="28">
        <f>W32*$B48*IF($B32&lt;W$4,1,0)*IF('Project Assumptions'!$E34+'Project Assumptions'!$C34&gt;='Plant Results'!W$4,1,0)</f>
        <v>27075.939698723996</v>
      </c>
      <c r="X48" s="28">
        <f>X32*$B48*IF($B32&lt;X$4,1,0)*IF('Project Assumptions'!$E34+'Project Assumptions'!$C34&gt;='Plant Results'!X$4,1,0)</f>
        <v>27075.939698723996</v>
      </c>
      <c r="Y48" s="28">
        <f>Y32*$B48*IF($B32&lt;Y$4,1,0)*IF('Project Assumptions'!$E34+'Project Assumptions'!$C34&gt;='Plant Results'!Y$4,1,0)</f>
        <v>27075.939698723996</v>
      </c>
      <c r="Z48" s="28">
        <f>Z32*$B48*IF($B32&lt;Z$4,1,0)*IF('Project Assumptions'!$E34+'Project Assumptions'!$C34&gt;='Plant Results'!Z$4,1,0)</f>
        <v>27075.939698723996</v>
      </c>
      <c r="AA48" s="28">
        <f>AA32*$B48*IF($B32&lt;AA$4,1,0)*IF('Project Assumptions'!$E34+'Project Assumptions'!$C34&gt;='Plant Results'!AA$4,1,0)</f>
        <v>27075.939698723996</v>
      </c>
      <c r="AB48" s="28">
        <f>AB32*$B48*IF($B32&lt;AB$4,1,0)*IF('Project Assumptions'!$E34+'Project Assumptions'!$C34&gt;='Plant Results'!AB$4,1,0)</f>
        <v>27075.939698723996</v>
      </c>
      <c r="AC48" s="28">
        <f>AC32*$B48*IF($B32&lt;AC$4,1,0)*IF('Project Assumptions'!$E34+'Project Assumptions'!$C34&gt;='Plant Results'!AC$4,1,0)</f>
        <v>27075.939698723996</v>
      </c>
      <c r="AD48" s="28">
        <f>AD32*$B48*IF($B32&lt;AD$4,1,0)*IF('Project Assumptions'!$E34+'Project Assumptions'!$C34&gt;='Plant Results'!AD$4,1,0)</f>
        <v>27075.939698723996</v>
      </c>
      <c r="AE48" s="28">
        <f>AE32*$B48*IF($B32&lt;AE$4,1,0)*IF('Project Assumptions'!$E34+'Project Assumptions'!$C34&gt;='Plant Results'!AE$4,1,0)</f>
        <v>27075.939698723996</v>
      </c>
      <c r="AF48" s="28">
        <f>AF32*$B48*IF($B32&lt;AF$4,1,0)*IF('Project Assumptions'!$E34+'Project Assumptions'!$C34&gt;='Plant Results'!AF$4,1,0)</f>
        <v>27075.939698723996</v>
      </c>
      <c r="AG48" s="28">
        <f>AG32*$B48*IF($B32&lt;AG$4,1,0)*IF('Project Assumptions'!$E34+'Project Assumptions'!$C34&gt;='Plant Results'!AG$4,1,0)</f>
        <v>27075.939698723996</v>
      </c>
      <c r="AH48" s="28">
        <f>AH32*$B48*IF($B32&lt;AH$4,1,0)*IF('Project Assumptions'!$E34+'Project Assumptions'!$C34&gt;='Plant Results'!AH$4,1,0)</f>
        <v>0</v>
      </c>
      <c r="AI48" s="28">
        <f>AI32*$B48*IF($B32&lt;AI$4,1,0)*IF('Project Assumptions'!$E34+'Project Assumptions'!$C34&gt;='Plant Results'!AI$4,1,0)</f>
        <v>0</v>
      </c>
      <c r="AJ48" s="28">
        <f>AJ32*$B48*IF($B32&lt;AJ$4,1,0)*IF('Project Assumptions'!$E34+'Project Assumptions'!$C34&gt;='Plant Results'!AJ$4,1,0)</f>
        <v>0</v>
      </c>
      <c r="AK48" s="28">
        <f>AK32*$B48*IF($B32&lt;AK$4,1,0)*IF('Project Assumptions'!$E34+'Project Assumptions'!$C34&gt;='Plant Results'!AK$4,1,0)</f>
        <v>0</v>
      </c>
      <c r="AL48" s="28">
        <f>AL32*$B48*IF($B32&lt;AL$4,1,0)*IF('Project Assumptions'!$E34+'Project Assumptions'!$C34&gt;='Plant Results'!AL$4,1,0)</f>
        <v>0</v>
      </c>
      <c r="AM48" s="28">
        <f>AM32*$B48*IF($B32&lt;AM$4,1,0)*IF('Project Assumptions'!$E34+'Project Assumptions'!$C34&gt;='Plant Results'!AM$4,1,0)</f>
        <v>0</v>
      </c>
      <c r="AN48" s="28">
        <f>AN32*$B48*IF($B32&lt;AN$4,1,0)*IF('Project Assumptions'!$E34+'Project Assumptions'!$C34&gt;='Plant Results'!AN$4,1,0)</f>
        <v>0</v>
      </c>
      <c r="AO48" s="28">
        <f>AO32*$B48*IF($B32&lt;AO$4,1,0)*IF('Project Assumptions'!$E34+'Project Assumptions'!$C34&gt;='Plant Results'!AO$4,1,0)</f>
        <v>0</v>
      </c>
      <c r="AP48" s="28">
        <f>AP32*$B48*IF($B32&lt;AP$4,1,0)*IF('Project Assumptions'!$E34+'Project Assumptions'!$C34&gt;='Plant Results'!AP$4,1,0)</f>
        <v>0</v>
      </c>
      <c r="AQ48" s="28">
        <f>AQ32*$B48*IF($B32&lt;AQ$4,1,0)*IF('Project Assumptions'!$E34+'Project Assumptions'!$C34&gt;='Plant Results'!AQ$4,1,0)</f>
        <v>0</v>
      </c>
      <c r="AR48" s="28">
        <f>AR32*$B48*IF($B32&lt;AR$4,1,0)*IF('Project Assumptions'!$E34+'Project Assumptions'!$C34&gt;='Plant Results'!AR$4,1,0)</f>
        <v>0</v>
      </c>
      <c r="AS48" s="28">
        <f>AS32*$B48*IF($B32&lt;AS$4,1,0)*IF('Project Assumptions'!$E34+'Project Assumptions'!$C34&gt;='Plant Results'!AS$4,1,0)</f>
        <v>0</v>
      </c>
      <c r="AT48" s="28">
        <f>AT32*$B48*IF($B32&lt;AT$4,1,0)*IF('Project Assumptions'!$E34+'Project Assumptions'!$C34&gt;='Plant Results'!AT$4,1,0)</f>
        <v>0</v>
      </c>
      <c r="AU48" s="28">
        <f>AU32*$B48*IF($B32&lt;AU$4,1,0)*IF('Project Assumptions'!$E34+'Project Assumptions'!$C34&gt;='Plant Results'!AU$4,1,0)</f>
        <v>0</v>
      </c>
      <c r="AV48" s="28">
        <f>AV32*$B48*IF($B32&lt;AV$4,1,0)*IF('Project Assumptions'!$E34+'Project Assumptions'!$C34&gt;='Plant Results'!AV$4,1,0)</f>
        <v>0</v>
      </c>
      <c r="AW48" s="28">
        <f>AW32*$B48*IF($B32&lt;AW$4,1,0)*IF('Project Assumptions'!$E34+'Project Assumptions'!$C34&gt;='Plant Results'!AW$4,1,0)</f>
        <v>0</v>
      </c>
      <c r="AX48" s="28">
        <f>AX32*$B48*IF($B32&lt;AX$4,1,0)*IF('Project Assumptions'!$E34+'Project Assumptions'!$C34&gt;='Plant Results'!AX$4,1,0)</f>
        <v>0</v>
      </c>
      <c r="AY48" s="28">
        <f>AY32*$B48*IF($B32&lt;AY$4,1,0)*IF('Project Assumptions'!$E34+'Project Assumptions'!$C34&gt;='Plant Results'!AY$4,1,0)</f>
        <v>0</v>
      </c>
      <c r="AZ48" s="28">
        <f>AZ32*$B48*IF($B32&lt;AZ$4,1,0)*IF('Project Assumptions'!$E34+'Project Assumptions'!$C34&gt;='Plant Results'!AZ$4,1,0)</f>
        <v>0</v>
      </c>
      <c r="BA48" s="28">
        <f>BA32*$B48*IF($B32&lt;BA$4,1,0)*IF('Project Assumptions'!$E34+'Project Assumptions'!$C34&gt;='Plant Results'!BA$4,1,0)</f>
        <v>0</v>
      </c>
      <c r="BB48" s="28">
        <f>BB32*$B48*IF($B32&lt;BB$4,1,0)*IF('Project Assumptions'!$E34+'Project Assumptions'!$C34&gt;='Plant Results'!BB$4,1,0)</f>
        <v>0</v>
      </c>
      <c r="BC48" s="28">
        <f>BC32*$B48*IF($B32&lt;BC$4,1,0)*IF('Project Assumptions'!$E34+'Project Assumptions'!$C34&gt;='Plant Results'!BC$4,1,0)</f>
        <v>0</v>
      </c>
      <c r="BD48" s="28">
        <f>BD32*$B48*IF($B32&lt;BD$4,1,0)*IF('Project Assumptions'!$E34+'Project Assumptions'!$C34&gt;='Plant Results'!BD$4,1,0)</f>
        <v>0</v>
      </c>
      <c r="BE48" s="28">
        <f>BE32*$B48*IF($B32&lt;BE$4,1,0)*IF('Project Assumptions'!$E34+'Project Assumptions'!$C34&gt;='Plant Results'!BE$4,1,0)</f>
        <v>0</v>
      </c>
      <c r="BF48" s="28">
        <f>BF32*$B48*IF($B32&lt;BF$4,1,0)*IF('Project Assumptions'!$E34+'Project Assumptions'!$C34&gt;='Plant Results'!BF$4,1,0)</f>
        <v>0</v>
      </c>
      <c r="BG48" s="28">
        <f>BG32*$B48*IF($B32&lt;BG$4,1,0)*IF('Project Assumptions'!$E34+'Project Assumptions'!$C34&gt;='Plant Results'!BG$4,1,0)</f>
        <v>0</v>
      </c>
      <c r="BH48" s="28">
        <f>BH32*$B48*IF($B32&lt;BH$4,1,0)*IF('Project Assumptions'!$E34+'Project Assumptions'!$C34&gt;='Plant Results'!BH$4,1,0)</f>
        <v>0</v>
      </c>
      <c r="BI48" s="28">
        <f>BI32*$B48*IF($B32&lt;BI$4,1,0)*IF('Project Assumptions'!$E34+'Project Assumptions'!$C34&gt;='Plant Results'!BI$4,1,0)</f>
        <v>0</v>
      </c>
      <c r="BJ48" s="28">
        <f>BJ32*$B48*IF($B32&lt;BJ$4,1,0)*IF('Project Assumptions'!$E34+'Project Assumptions'!$C34&gt;='Plant Results'!BJ$4,1,0)</f>
        <v>0</v>
      </c>
      <c r="BK48" s="28">
        <f>BK32*$B48*IF($B32&lt;BK$4,1,0)*IF('Project Assumptions'!$E34+'Project Assumptions'!$C34&gt;='Plant Results'!BK$4,1,0)</f>
        <v>0</v>
      </c>
      <c r="BL48" s="28">
        <f t="shared" si="72"/>
        <v>541518.79397448013</v>
      </c>
      <c r="BM48" s="259">
        <f>BL48-BL66</f>
        <v>0</v>
      </c>
    </row>
    <row r="49" spans="1:65" ht="14.5" customHeight="1">
      <c r="A49" s="25" t="str">
        <f t="shared" ref="A49:A50" si="77">A33</f>
        <v>Capital Expenditure 11</v>
      </c>
      <c r="B49" s="35">
        <f>1/'Project Assumptions'!C35</f>
        <v>0.05</v>
      </c>
      <c r="C49" s="28">
        <f>C33*$B49*IF($B33&lt;C$4,1,0)*IF('Project Assumptions'!$E35+'Project Assumptions'!$C35&gt;='Plant Results'!C$4,1,0)</f>
        <v>0</v>
      </c>
      <c r="D49" s="28">
        <f>D33*$B49*IF($B33&lt;D$4,1,0)*IF('Project Assumptions'!$E35+'Project Assumptions'!$C35&gt;='Plant Results'!D$4,1,0)</f>
        <v>0</v>
      </c>
      <c r="E49" s="28">
        <f>E33*$B49*IF($B33&lt;E$4,1,0)*IF('Project Assumptions'!$E35+'Project Assumptions'!$C35&gt;='Plant Results'!E$4,1,0)</f>
        <v>0</v>
      </c>
      <c r="F49" s="28">
        <f>F33*$B49*IF($B33&lt;F$4,1,0)*IF('Project Assumptions'!$E35+'Project Assumptions'!$C35&gt;='Plant Results'!F$4,1,0)</f>
        <v>0</v>
      </c>
      <c r="G49" s="28">
        <f>G33*$B49*IF($B33&lt;G$4,1,0)*IF('Project Assumptions'!$E35+'Project Assumptions'!$C35&gt;='Plant Results'!G$4,1,0)</f>
        <v>0</v>
      </c>
      <c r="H49" s="28">
        <f>H33*$B49*IF($B33&lt;H$4,1,0)*IF('Project Assumptions'!$E35+'Project Assumptions'!$C35&gt;='Plant Results'!H$4,1,0)</f>
        <v>0</v>
      </c>
      <c r="I49" s="28">
        <f>I33*$B49*IF($B33&lt;I$4,1,0)*IF('Project Assumptions'!$E35+'Project Assumptions'!$C35&gt;='Plant Results'!I$4,1,0)</f>
        <v>0</v>
      </c>
      <c r="J49" s="28">
        <f>J33*$B49*IF($B33&lt;J$4,1,0)*IF('Project Assumptions'!$E35+'Project Assumptions'!$C35&gt;='Plant Results'!J$4,1,0)</f>
        <v>0</v>
      </c>
      <c r="K49" s="28">
        <f>K33*$B49*IF($B33&lt;K$4,1,0)*IF('Project Assumptions'!$E35+'Project Assumptions'!$C35&gt;='Plant Results'!K$4,1,0)</f>
        <v>0</v>
      </c>
      <c r="L49" s="28">
        <f>L33*$B49*IF($B33&lt;L$4,1,0)*IF('Project Assumptions'!$E35+'Project Assumptions'!$C35&gt;='Plant Results'!L$4,1,0)</f>
        <v>0</v>
      </c>
      <c r="M49" s="28">
        <f>M33*$B49*IF($B33&lt;M$4,1,0)*IF('Project Assumptions'!$E35+'Project Assumptions'!$C35&gt;='Plant Results'!M$4,1,0)</f>
        <v>0</v>
      </c>
      <c r="N49" s="28">
        <f>N33*$B49*IF($B33&lt;N$4,1,0)*IF('Project Assumptions'!$E35+'Project Assumptions'!$C35&gt;='Plant Results'!N$4,1,0)</f>
        <v>0</v>
      </c>
      <c r="O49" s="28">
        <f>O33*$B49*IF($B33&lt;O$4,1,0)*IF('Project Assumptions'!$E35+'Project Assumptions'!$C35&gt;='Plant Results'!O$4,1,0)</f>
        <v>27364.355627216239</v>
      </c>
      <c r="P49" s="28">
        <f>P33*$B49*IF($B33&lt;P$4,1,0)*IF('Project Assumptions'!$E35+'Project Assumptions'!$C35&gt;='Plant Results'!P$4,1,0)</f>
        <v>27364.355627216239</v>
      </c>
      <c r="Q49" s="28">
        <f>Q33*$B49*IF($B33&lt;Q$4,1,0)*IF('Project Assumptions'!$E35+'Project Assumptions'!$C35&gt;='Plant Results'!Q$4,1,0)</f>
        <v>27364.355627216239</v>
      </c>
      <c r="R49" s="28">
        <f>R33*$B49*IF($B33&lt;R$4,1,0)*IF('Project Assumptions'!$E35+'Project Assumptions'!$C35&gt;='Plant Results'!R$4,1,0)</f>
        <v>27364.355627216239</v>
      </c>
      <c r="S49" s="28">
        <f>S33*$B49*IF($B33&lt;S$4,1,0)*IF('Project Assumptions'!$E35+'Project Assumptions'!$C35&gt;='Plant Results'!S$4,1,0)</f>
        <v>27364.355627216239</v>
      </c>
      <c r="T49" s="28">
        <f>T33*$B49*IF($B33&lt;T$4,1,0)*IF('Project Assumptions'!$E35+'Project Assumptions'!$C35&gt;='Plant Results'!T$4,1,0)</f>
        <v>27364.355627216239</v>
      </c>
      <c r="U49" s="28">
        <f>U33*$B49*IF($B33&lt;U$4,1,0)*IF('Project Assumptions'!$E35+'Project Assumptions'!$C35&gt;='Plant Results'!U$4,1,0)</f>
        <v>27364.355627216239</v>
      </c>
      <c r="V49" s="28">
        <f>V33*$B49*IF($B33&lt;V$4,1,0)*IF('Project Assumptions'!$E35+'Project Assumptions'!$C35&gt;='Plant Results'!V$4,1,0)</f>
        <v>27364.355627216239</v>
      </c>
      <c r="W49" s="28">
        <f>W33*$B49*IF($B33&lt;W$4,1,0)*IF('Project Assumptions'!$E35+'Project Assumptions'!$C35&gt;='Plant Results'!W$4,1,0)</f>
        <v>27364.355627216239</v>
      </c>
      <c r="X49" s="28">
        <f>X33*$B49*IF($B33&lt;X$4,1,0)*IF('Project Assumptions'!$E35+'Project Assumptions'!$C35&gt;='Plant Results'!X$4,1,0)</f>
        <v>27364.355627216239</v>
      </c>
      <c r="Y49" s="28">
        <f>Y33*$B49*IF($B33&lt;Y$4,1,0)*IF('Project Assumptions'!$E35+'Project Assumptions'!$C35&gt;='Plant Results'!Y$4,1,0)</f>
        <v>27364.355627216239</v>
      </c>
      <c r="Z49" s="28">
        <f>Z33*$B49*IF($B33&lt;Z$4,1,0)*IF('Project Assumptions'!$E35+'Project Assumptions'!$C35&gt;='Plant Results'!Z$4,1,0)</f>
        <v>27364.355627216239</v>
      </c>
      <c r="AA49" s="28">
        <f>AA33*$B49*IF($B33&lt;AA$4,1,0)*IF('Project Assumptions'!$E35+'Project Assumptions'!$C35&gt;='Plant Results'!AA$4,1,0)</f>
        <v>27364.355627216239</v>
      </c>
      <c r="AB49" s="28">
        <f>AB33*$B49*IF($B33&lt;AB$4,1,0)*IF('Project Assumptions'!$E35+'Project Assumptions'!$C35&gt;='Plant Results'!AB$4,1,0)</f>
        <v>27364.355627216239</v>
      </c>
      <c r="AC49" s="28">
        <f>AC33*$B49*IF($B33&lt;AC$4,1,0)*IF('Project Assumptions'!$E35+'Project Assumptions'!$C35&gt;='Plant Results'!AC$4,1,0)</f>
        <v>27364.355627216239</v>
      </c>
      <c r="AD49" s="28">
        <f>AD33*$B49*IF($B33&lt;AD$4,1,0)*IF('Project Assumptions'!$E35+'Project Assumptions'!$C35&gt;='Plant Results'!AD$4,1,0)</f>
        <v>27364.355627216239</v>
      </c>
      <c r="AE49" s="28">
        <f>AE33*$B49*IF($B33&lt;AE$4,1,0)*IF('Project Assumptions'!$E35+'Project Assumptions'!$C35&gt;='Plant Results'!AE$4,1,0)</f>
        <v>27364.355627216239</v>
      </c>
      <c r="AF49" s="28">
        <f>AF33*$B49*IF($B33&lt;AF$4,1,0)*IF('Project Assumptions'!$E35+'Project Assumptions'!$C35&gt;='Plant Results'!AF$4,1,0)</f>
        <v>27364.355627216239</v>
      </c>
      <c r="AG49" s="28">
        <f>AG33*$B49*IF($B33&lt;AG$4,1,0)*IF('Project Assumptions'!$E35+'Project Assumptions'!$C35&gt;='Plant Results'!AG$4,1,0)</f>
        <v>27364.355627216239</v>
      </c>
      <c r="AH49" s="28">
        <f>AH33*$B49*IF($B33&lt;AH$4,1,0)*IF('Project Assumptions'!$E35+'Project Assumptions'!$C35&gt;='Plant Results'!AH$4,1,0)</f>
        <v>27364.355627216239</v>
      </c>
      <c r="AI49" s="28">
        <f>AI33*$B49*IF($B33&lt;AI$4,1,0)*IF('Project Assumptions'!$E35+'Project Assumptions'!$C35&gt;='Plant Results'!AI$4,1,0)</f>
        <v>0</v>
      </c>
      <c r="AJ49" s="28">
        <f>AJ33*$B49*IF($B33&lt;AJ$4,1,0)*IF('Project Assumptions'!$E35+'Project Assumptions'!$C35&gt;='Plant Results'!AJ$4,1,0)</f>
        <v>0</v>
      </c>
      <c r="AK49" s="28">
        <f>AK33*$B49*IF($B33&lt;AK$4,1,0)*IF('Project Assumptions'!$E35+'Project Assumptions'!$C35&gt;='Plant Results'!AK$4,1,0)</f>
        <v>0</v>
      </c>
      <c r="AL49" s="28">
        <f>AL33*$B49*IF($B33&lt;AL$4,1,0)*IF('Project Assumptions'!$E35+'Project Assumptions'!$C35&gt;='Plant Results'!AL$4,1,0)</f>
        <v>0</v>
      </c>
      <c r="AM49" s="28">
        <f>AM33*$B49*IF($B33&lt;AM$4,1,0)*IF('Project Assumptions'!$E35+'Project Assumptions'!$C35&gt;='Plant Results'!AM$4,1,0)</f>
        <v>0</v>
      </c>
      <c r="AN49" s="28">
        <f>AN33*$B49*IF($B33&lt;AN$4,1,0)*IF('Project Assumptions'!$E35+'Project Assumptions'!$C35&gt;='Plant Results'!AN$4,1,0)</f>
        <v>0</v>
      </c>
      <c r="AO49" s="28">
        <f>AO33*$B49*IF($B33&lt;AO$4,1,0)*IF('Project Assumptions'!$E35+'Project Assumptions'!$C35&gt;='Plant Results'!AO$4,1,0)</f>
        <v>0</v>
      </c>
      <c r="AP49" s="28">
        <f>AP33*$B49*IF($B33&lt;AP$4,1,0)*IF('Project Assumptions'!$E35+'Project Assumptions'!$C35&gt;='Plant Results'!AP$4,1,0)</f>
        <v>0</v>
      </c>
      <c r="AQ49" s="28">
        <f>AQ33*$B49*IF($B33&lt;AQ$4,1,0)*IF('Project Assumptions'!$E35+'Project Assumptions'!$C35&gt;='Plant Results'!AQ$4,1,0)</f>
        <v>0</v>
      </c>
      <c r="AR49" s="28">
        <f>AR33*$B49*IF($B33&lt;AR$4,1,0)*IF('Project Assumptions'!$E35+'Project Assumptions'!$C35&gt;='Plant Results'!AR$4,1,0)</f>
        <v>0</v>
      </c>
      <c r="AS49" s="28">
        <f>AS33*$B49*IF($B33&lt;AS$4,1,0)*IF('Project Assumptions'!$E35+'Project Assumptions'!$C35&gt;='Plant Results'!AS$4,1,0)</f>
        <v>0</v>
      </c>
      <c r="AT49" s="28">
        <f>AT33*$B49*IF($B33&lt;AT$4,1,0)*IF('Project Assumptions'!$E35+'Project Assumptions'!$C35&gt;='Plant Results'!AT$4,1,0)</f>
        <v>0</v>
      </c>
      <c r="AU49" s="28">
        <f>AU33*$B49*IF($B33&lt;AU$4,1,0)*IF('Project Assumptions'!$E35+'Project Assumptions'!$C35&gt;='Plant Results'!AU$4,1,0)</f>
        <v>0</v>
      </c>
      <c r="AV49" s="28">
        <f>AV33*$B49*IF($B33&lt;AV$4,1,0)*IF('Project Assumptions'!$E35+'Project Assumptions'!$C35&gt;='Plant Results'!AV$4,1,0)</f>
        <v>0</v>
      </c>
      <c r="AW49" s="28">
        <f>AW33*$B49*IF($B33&lt;AW$4,1,0)*IF('Project Assumptions'!$E35+'Project Assumptions'!$C35&gt;='Plant Results'!AW$4,1,0)</f>
        <v>0</v>
      </c>
      <c r="AX49" s="28">
        <f>AX33*$B49*IF($B33&lt;AX$4,1,0)*IF('Project Assumptions'!$E35+'Project Assumptions'!$C35&gt;='Plant Results'!AX$4,1,0)</f>
        <v>0</v>
      </c>
      <c r="AY49" s="28">
        <f>AY33*$B49*IF($B33&lt;AY$4,1,0)*IF('Project Assumptions'!$E35+'Project Assumptions'!$C35&gt;='Plant Results'!AY$4,1,0)</f>
        <v>0</v>
      </c>
      <c r="AZ49" s="28">
        <f>AZ33*$B49*IF($B33&lt;AZ$4,1,0)*IF('Project Assumptions'!$E35+'Project Assumptions'!$C35&gt;='Plant Results'!AZ$4,1,0)</f>
        <v>0</v>
      </c>
      <c r="BA49" s="28">
        <f>BA33*$B49*IF($B33&lt;BA$4,1,0)*IF('Project Assumptions'!$E35+'Project Assumptions'!$C35&gt;='Plant Results'!BA$4,1,0)</f>
        <v>0</v>
      </c>
      <c r="BB49" s="28">
        <f>BB33*$B49*IF($B33&lt;BB$4,1,0)*IF('Project Assumptions'!$E35+'Project Assumptions'!$C35&gt;='Plant Results'!BB$4,1,0)</f>
        <v>0</v>
      </c>
      <c r="BC49" s="28">
        <f>BC33*$B49*IF($B33&lt;BC$4,1,0)*IF('Project Assumptions'!$E35+'Project Assumptions'!$C35&gt;='Plant Results'!BC$4,1,0)</f>
        <v>0</v>
      </c>
      <c r="BD49" s="28">
        <f>BD33*$B49*IF($B33&lt;BD$4,1,0)*IF('Project Assumptions'!$E35+'Project Assumptions'!$C35&gt;='Plant Results'!BD$4,1,0)</f>
        <v>0</v>
      </c>
      <c r="BE49" s="28">
        <f>BE33*$B49*IF($B33&lt;BE$4,1,0)*IF('Project Assumptions'!$E35+'Project Assumptions'!$C35&gt;='Plant Results'!BE$4,1,0)</f>
        <v>0</v>
      </c>
      <c r="BF49" s="28">
        <f>BF33*$B49*IF($B33&lt;BF$4,1,0)*IF('Project Assumptions'!$E35+'Project Assumptions'!$C35&gt;='Plant Results'!BF$4,1,0)</f>
        <v>0</v>
      </c>
      <c r="BG49" s="28">
        <f>BG33*$B49*IF($B33&lt;BG$4,1,0)*IF('Project Assumptions'!$E35+'Project Assumptions'!$C35&gt;='Plant Results'!BG$4,1,0)</f>
        <v>0</v>
      </c>
      <c r="BH49" s="28">
        <f>BH33*$B49*IF($B33&lt;BH$4,1,0)*IF('Project Assumptions'!$E35+'Project Assumptions'!$C35&gt;='Plant Results'!BH$4,1,0)</f>
        <v>0</v>
      </c>
      <c r="BI49" s="28">
        <f>BI33*$B49*IF($B33&lt;BI$4,1,0)*IF('Project Assumptions'!$E35+'Project Assumptions'!$C35&gt;='Plant Results'!BI$4,1,0)</f>
        <v>0</v>
      </c>
      <c r="BJ49" s="28">
        <f>BJ33*$B49*IF($B33&lt;BJ$4,1,0)*IF('Project Assumptions'!$E35+'Project Assumptions'!$C35&gt;='Plant Results'!BJ$4,1,0)</f>
        <v>0</v>
      </c>
      <c r="BK49" s="28">
        <f>BK33*$B49*IF($B33&lt;BK$4,1,0)*IF('Project Assumptions'!$E35+'Project Assumptions'!$C35&gt;='Plant Results'!BK$4,1,0)</f>
        <v>0</v>
      </c>
      <c r="BL49" s="28">
        <f t="shared" ref="BL49" si="78">SUM(C49:BK49)</f>
        <v>547287.1125443246</v>
      </c>
      <c r="BM49" s="259">
        <f>BL49-BL66</f>
        <v>5768.3185698447051</v>
      </c>
    </row>
    <row r="50" spans="1:65" ht="14.5" customHeight="1">
      <c r="A50" s="25" t="str">
        <f t="shared" si="77"/>
        <v>Capital Expenditure 12</v>
      </c>
      <c r="B50" s="35">
        <f>1/'Project Assumptions'!C36</f>
        <v>0.05</v>
      </c>
      <c r="C50" s="28">
        <f>C34*$B50*IF($B34&lt;C$4,1,0)*IF('Project Assumptions'!$E36+'Project Assumptions'!$C36&gt;='Plant Results'!C$4,1,0)</f>
        <v>0</v>
      </c>
      <c r="D50" s="28">
        <f>D34*$B50*IF($B34&lt;D$4,1,0)*IF('Project Assumptions'!$E36+'Project Assumptions'!$C36&gt;='Plant Results'!D$4,1,0)</f>
        <v>0</v>
      </c>
      <c r="E50" s="28">
        <f>E34*$B50*IF($B34&lt;E$4,1,0)*IF('Project Assumptions'!$E36+'Project Assumptions'!$C36&gt;='Plant Results'!E$4,1,0)</f>
        <v>0</v>
      </c>
      <c r="F50" s="28">
        <f>F34*$B50*IF($B34&lt;F$4,1,0)*IF('Project Assumptions'!$E36+'Project Assumptions'!$C36&gt;='Plant Results'!F$4,1,0)</f>
        <v>0</v>
      </c>
      <c r="G50" s="28">
        <f>G34*$B50*IF($B34&lt;G$4,1,0)*IF('Project Assumptions'!$E36+'Project Assumptions'!$C36&gt;='Plant Results'!G$4,1,0)</f>
        <v>0</v>
      </c>
      <c r="H50" s="28">
        <f>H34*$B50*IF($B34&lt;H$4,1,0)*IF('Project Assumptions'!$E36+'Project Assumptions'!$C36&gt;='Plant Results'!H$4,1,0)</f>
        <v>0</v>
      </c>
      <c r="I50" s="28">
        <f>I34*$B50*IF($B34&lt;I$4,1,0)*IF('Project Assumptions'!$E36+'Project Assumptions'!$C36&gt;='Plant Results'!I$4,1,0)</f>
        <v>0</v>
      </c>
      <c r="J50" s="28">
        <f>J34*$B50*IF($B34&lt;J$4,1,0)*IF('Project Assumptions'!$E36+'Project Assumptions'!$C36&gt;='Plant Results'!J$4,1,0)</f>
        <v>0</v>
      </c>
      <c r="K50" s="28">
        <f>K34*$B50*IF($B34&lt;K$4,1,0)*IF('Project Assumptions'!$E36+'Project Assumptions'!$C36&gt;='Plant Results'!K$4,1,0)</f>
        <v>0</v>
      </c>
      <c r="L50" s="28">
        <f>L34*$B50*IF($B34&lt;L$4,1,0)*IF('Project Assumptions'!$E36+'Project Assumptions'!$C36&gt;='Plant Results'!L$4,1,0)</f>
        <v>0</v>
      </c>
      <c r="M50" s="28">
        <f>M34*$B50*IF($B34&lt;M$4,1,0)*IF('Project Assumptions'!$E36+'Project Assumptions'!$C36&gt;='Plant Results'!M$4,1,0)</f>
        <v>0</v>
      </c>
      <c r="N50" s="28">
        <f>N34*$B50*IF($B34&lt;N$4,1,0)*IF('Project Assumptions'!$E36+'Project Assumptions'!$C36&gt;='Plant Results'!N$4,1,0)</f>
        <v>0</v>
      </c>
      <c r="O50" s="28">
        <f>O34*$B50*IF($B34&lt;O$4,1,0)*IF('Project Assumptions'!$E36+'Project Assumptions'!$C36&gt;='Plant Results'!O$4,1,0)</f>
        <v>0</v>
      </c>
      <c r="P50" s="28">
        <f>P34*$B50*IF($B34&lt;P$4,1,0)*IF('Project Assumptions'!$E36+'Project Assumptions'!$C36&gt;='Plant Results'!P$4,1,0)</f>
        <v>28185.286296032715</v>
      </c>
      <c r="Q50" s="28">
        <f>Q34*$B50*IF($B34&lt;Q$4,1,0)*IF('Project Assumptions'!$E36+'Project Assumptions'!$C36&gt;='Plant Results'!Q$4,1,0)</f>
        <v>28185.286296032715</v>
      </c>
      <c r="R50" s="28">
        <f>R34*$B50*IF($B34&lt;R$4,1,0)*IF('Project Assumptions'!$E36+'Project Assumptions'!$C36&gt;='Plant Results'!R$4,1,0)</f>
        <v>28185.286296032715</v>
      </c>
      <c r="S50" s="28">
        <f>S34*$B50*IF($B34&lt;S$4,1,0)*IF('Project Assumptions'!$E36+'Project Assumptions'!$C36&gt;='Plant Results'!S$4,1,0)</f>
        <v>28185.286296032715</v>
      </c>
      <c r="T50" s="28">
        <f>T34*$B50*IF($B34&lt;T$4,1,0)*IF('Project Assumptions'!$E36+'Project Assumptions'!$C36&gt;='Plant Results'!T$4,1,0)</f>
        <v>28185.286296032715</v>
      </c>
      <c r="U50" s="28">
        <f>U34*$B50*IF($B34&lt;U$4,1,0)*IF('Project Assumptions'!$E36+'Project Assumptions'!$C36&gt;='Plant Results'!U$4,1,0)</f>
        <v>28185.286296032715</v>
      </c>
      <c r="V50" s="28">
        <f>V34*$B50*IF($B34&lt;V$4,1,0)*IF('Project Assumptions'!$E36+'Project Assumptions'!$C36&gt;='Plant Results'!V$4,1,0)</f>
        <v>28185.286296032715</v>
      </c>
      <c r="W50" s="28">
        <f>W34*$B50*IF($B34&lt;W$4,1,0)*IF('Project Assumptions'!$E36+'Project Assumptions'!$C36&gt;='Plant Results'!W$4,1,0)</f>
        <v>28185.286296032715</v>
      </c>
      <c r="X50" s="28">
        <f>X34*$B50*IF($B34&lt;X$4,1,0)*IF('Project Assumptions'!$E36+'Project Assumptions'!$C36&gt;='Plant Results'!X$4,1,0)</f>
        <v>28185.286296032715</v>
      </c>
      <c r="Y50" s="28">
        <f>Y34*$B50*IF($B34&lt;Y$4,1,0)*IF('Project Assumptions'!$E36+'Project Assumptions'!$C36&gt;='Plant Results'!Y$4,1,0)</f>
        <v>28185.286296032715</v>
      </c>
      <c r="Z50" s="28">
        <f>Z34*$B50*IF($B34&lt;Z$4,1,0)*IF('Project Assumptions'!$E36+'Project Assumptions'!$C36&gt;='Plant Results'!Z$4,1,0)</f>
        <v>28185.286296032715</v>
      </c>
      <c r="AA50" s="28">
        <f>AA34*$B50*IF($B34&lt;AA$4,1,0)*IF('Project Assumptions'!$E36+'Project Assumptions'!$C36&gt;='Plant Results'!AA$4,1,0)</f>
        <v>28185.286296032715</v>
      </c>
      <c r="AB50" s="28">
        <f>AB34*$B50*IF($B34&lt;AB$4,1,0)*IF('Project Assumptions'!$E36+'Project Assumptions'!$C36&gt;='Plant Results'!AB$4,1,0)</f>
        <v>28185.286296032715</v>
      </c>
      <c r="AC50" s="28">
        <f>AC34*$B50*IF($B34&lt;AC$4,1,0)*IF('Project Assumptions'!$E36+'Project Assumptions'!$C36&gt;='Plant Results'!AC$4,1,0)</f>
        <v>28185.286296032715</v>
      </c>
      <c r="AD50" s="28">
        <f>AD34*$B50*IF($B34&lt;AD$4,1,0)*IF('Project Assumptions'!$E36+'Project Assumptions'!$C36&gt;='Plant Results'!AD$4,1,0)</f>
        <v>28185.286296032715</v>
      </c>
      <c r="AE50" s="28">
        <f>AE34*$B50*IF($B34&lt;AE$4,1,0)*IF('Project Assumptions'!$E36+'Project Assumptions'!$C36&gt;='Plant Results'!AE$4,1,0)</f>
        <v>28185.286296032715</v>
      </c>
      <c r="AF50" s="28">
        <f>AF34*$B50*IF($B34&lt;AF$4,1,0)*IF('Project Assumptions'!$E36+'Project Assumptions'!$C36&gt;='Plant Results'!AF$4,1,0)</f>
        <v>28185.286296032715</v>
      </c>
      <c r="AG50" s="28">
        <f>AG34*$B50*IF($B34&lt;AG$4,1,0)*IF('Project Assumptions'!$E36+'Project Assumptions'!$C36&gt;='Plant Results'!AG$4,1,0)</f>
        <v>28185.286296032715</v>
      </c>
      <c r="AH50" s="28">
        <f>AH34*$B50*IF($B34&lt;AH$4,1,0)*IF('Project Assumptions'!$E36+'Project Assumptions'!$C36&gt;='Plant Results'!AH$4,1,0)</f>
        <v>28185.286296032715</v>
      </c>
      <c r="AI50" s="28">
        <f>AI34*$B50*IF($B34&lt;AI$4,1,0)*IF('Project Assumptions'!$E36+'Project Assumptions'!$C36&gt;='Plant Results'!AI$4,1,0)</f>
        <v>28185.286296032715</v>
      </c>
      <c r="AJ50" s="28">
        <f>AJ34*$B50*IF($B34&lt;AJ$4,1,0)*IF('Project Assumptions'!$E36+'Project Assumptions'!$C36&gt;='Plant Results'!AJ$4,1,0)</f>
        <v>0</v>
      </c>
      <c r="AK50" s="28">
        <f>AK34*$B50*IF($B34&lt;AK$4,1,0)*IF('Project Assumptions'!$E36+'Project Assumptions'!$C36&gt;='Plant Results'!AK$4,1,0)</f>
        <v>0</v>
      </c>
      <c r="AL50" s="28">
        <f>AL34*$B50*IF($B34&lt;AL$4,1,0)*IF('Project Assumptions'!$E36+'Project Assumptions'!$C36&gt;='Plant Results'!AL$4,1,0)</f>
        <v>0</v>
      </c>
      <c r="AM50" s="28">
        <f>AM34*$B50*IF($B34&lt;AM$4,1,0)*IF('Project Assumptions'!$E36+'Project Assumptions'!$C36&gt;='Plant Results'!AM$4,1,0)</f>
        <v>0</v>
      </c>
      <c r="AN50" s="28">
        <f>AN34*$B50*IF($B34&lt;AN$4,1,0)*IF('Project Assumptions'!$E36+'Project Assumptions'!$C36&gt;='Plant Results'!AN$4,1,0)</f>
        <v>0</v>
      </c>
      <c r="AO50" s="28">
        <f>AO34*$B50*IF($B34&lt;AO$4,1,0)*IF('Project Assumptions'!$E36+'Project Assumptions'!$C36&gt;='Plant Results'!AO$4,1,0)</f>
        <v>0</v>
      </c>
      <c r="AP50" s="28">
        <f>AP34*$B50*IF($B34&lt;AP$4,1,0)*IF('Project Assumptions'!$E36+'Project Assumptions'!$C36&gt;='Plant Results'!AP$4,1,0)</f>
        <v>0</v>
      </c>
      <c r="AQ50" s="28">
        <f>AQ34*$B50*IF($B34&lt;AQ$4,1,0)*IF('Project Assumptions'!$E36+'Project Assumptions'!$C36&gt;='Plant Results'!AQ$4,1,0)</f>
        <v>0</v>
      </c>
      <c r="AR50" s="28">
        <f>AR34*$B50*IF($B34&lt;AR$4,1,0)*IF('Project Assumptions'!$E36+'Project Assumptions'!$C36&gt;='Plant Results'!AR$4,1,0)</f>
        <v>0</v>
      </c>
      <c r="AS50" s="28">
        <f>AS34*$B50*IF($B34&lt;AS$4,1,0)*IF('Project Assumptions'!$E36+'Project Assumptions'!$C36&gt;='Plant Results'!AS$4,1,0)</f>
        <v>0</v>
      </c>
      <c r="AT50" s="28">
        <f>AT34*$B50*IF($B34&lt;AT$4,1,0)*IF('Project Assumptions'!$E36+'Project Assumptions'!$C36&gt;='Plant Results'!AT$4,1,0)</f>
        <v>0</v>
      </c>
      <c r="AU50" s="28">
        <f>AU34*$B50*IF($B34&lt;AU$4,1,0)*IF('Project Assumptions'!$E36+'Project Assumptions'!$C36&gt;='Plant Results'!AU$4,1,0)</f>
        <v>0</v>
      </c>
      <c r="AV50" s="28">
        <f>AV34*$B50*IF($B34&lt;AV$4,1,0)*IF('Project Assumptions'!$E36+'Project Assumptions'!$C36&gt;='Plant Results'!AV$4,1,0)</f>
        <v>0</v>
      </c>
      <c r="AW50" s="28">
        <f>AW34*$B50*IF($B34&lt;AW$4,1,0)*IF('Project Assumptions'!$E36+'Project Assumptions'!$C36&gt;='Plant Results'!AW$4,1,0)</f>
        <v>0</v>
      </c>
      <c r="AX50" s="28">
        <f>AX34*$B50*IF($B34&lt;AX$4,1,0)*IF('Project Assumptions'!$E36+'Project Assumptions'!$C36&gt;='Plant Results'!AX$4,1,0)</f>
        <v>0</v>
      </c>
      <c r="AY50" s="28">
        <f>AY34*$B50*IF($B34&lt;AY$4,1,0)*IF('Project Assumptions'!$E36+'Project Assumptions'!$C36&gt;='Plant Results'!AY$4,1,0)</f>
        <v>0</v>
      </c>
      <c r="AZ50" s="28">
        <f>AZ34*$B50*IF($B34&lt;AZ$4,1,0)*IF('Project Assumptions'!$E36+'Project Assumptions'!$C36&gt;='Plant Results'!AZ$4,1,0)</f>
        <v>0</v>
      </c>
      <c r="BA50" s="28">
        <f>BA34*$B50*IF($B34&lt;BA$4,1,0)*IF('Project Assumptions'!$E36+'Project Assumptions'!$C36&gt;='Plant Results'!BA$4,1,0)</f>
        <v>0</v>
      </c>
      <c r="BB50" s="28">
        <f>BB34*$B50*IF($B34&lt;BB$4,1,0)*IF('Project Assumptions'!$E36+'Project Assumptions'!$C36&gt;='Plant Results'!BB$4,1,0)</f>
        <v>0</v>
      </c>
      <c r="BC50" s="28">
        <f>BC34*$B50*IF($B34&lt;BC$4,1,0)*IF('Project Assumptions'!$E36+'Project Assumptions'!$C36&gt;='Plant Results'!BC$4,1,0)</f>
        <v>0</v>
      </c>
      <c r="BD50" s="28">
        <f>BD34*$B50*IF($B34&lt;BD$4,1,0)*IF('Project Assumptions'!$E36+'Project Assumptions'!$C36&gt;='Plant Results'!BD$4,1,0)</f>
        <v>0</v>
      </c>
      <c r="BE50" s="28">
        <f>BE34*$B50*IF($B34&lt;BE$4,1,0)*IF('Project Assumptions'!$E36+'Project Assumptions'!$C36&gt;='Plant Results'!BE$4,1,0)</f>
        <v>0</v>
      </c>
      <c r="BF50" s="28">
        <f>BF34*$B50*IF($B34&lt;BF$4,1,0)*IF('Project Assumptions'!$E36+'Project Assumptions'!$C36&gt;='Plant Results'!BF$4,1,0)</f>
        <v>0</v>
      </c>
      <c r="BG50" s="28">
        <f>BG34*$B50*IF($B34&lt;BG$4,1,0)*IF('Project Assumptions'!$E36+'Project Assumptions'!$C36&gt;='Plant Results'!BG$4,1,0)</f>
        <v>0</v>
      </c>
      <c r="BH50" s="28">
        <f>BH34*$B50*IF($B34&lt;BH$4,1,0)*IF('Project Assumptions'!$E36+'Project Assumptions'!$C36&gt;='Plant Results'!BH$4,1,0)</f>
        <v>0</v>
      </c>
      <c r="BI50" s="28">
        <f>BI34*$B50*IF($B34&lt;BI$4,1,0)*IF('Project Assumptions'!$E36+'Project Assumptions'!$C36&gt;='Plant Results'!BI$4,1,0)</f>
        <v>0</v>
      </c>
      <c r="BJ50" s="28">
        <f>BJ34*$B50*IF($B34&lt;BJ$4,1,0)*IF('Project Assumptions'!$E36+'Project Assumptions'!$C36&gt;='Plant Results'!BJ$4,1,0)</f>
        <v>0</v>
      </c>
      <c r="BK50" s="28">
        <f>BK34*$B50*IF($B34&lt;BK$4,1,0)*IF('Project Assumptions'!$E36+'Project Assumptions'!$C36&gt;='Plant Results'!BK$4,1,0)</f>
        <v>0</v>
      </c>
      <c r="BL50" s="28">
        <f t="shared" si="72"/>
        <v>563705.72592065425</v>
      </c>
      <c r="BM50" s="259">
        <f>BL50-BL68</f>
        <v>0</v>
      </c>
    </row>
    <row r="51" spans="1:65" s="42" customFormat="1" ht="14.5" customHeight="1">
      <c r="A51" s="27" t="s">
        <v>157</v>
      </c>
      <c r="B51" s="27"/>
      <c r="C51" s="79">
        <f>SUM(C39:C50)</f>
        <v>0</v>
      </c>
      <c r="D51" s="79">
        <f t="shared" ref="D51:AP51" si="79">SUM(D39:D50)</f>
        <v>0</v>
      </c>
      <c r="E51" s="79">
        <f t="shared" si="79"/>
        <v>1066590.4222895724</v>
      </c>
      <c r="F51" s="79">
        <f t="shared" si="79"/>
        <v>2809345.4672995768</v>
      </c>
      <c r="G51" s="79">
        <f>SUM(G39:G50)</f>
        <v>6942548.082309708</v>
      </c>
      <c r="H51" s="79">
        <f t="shared" si="79"/>
        <v>10367515.105178883</v>
      </c>
      <c r="I51" s="79">
        <f t="shared" si="79"/>
        <v>13912409.69669489</v>
      </c>
      <c r="J51" s="79">
        <f t="shared" si="79"/>
        <v>17563651.125956379</v>
      </c>
      <c r="K51" s="79">
        <f t="shared" si="79"/>
        <v>21324429.798095711</v>
      </c>
      <c r="L51" s="79">
        <f t="shared" si="79"/>
        <v>24573722.31256374</v>
      </c>
      <c r="M51" s="79">
        <f t="shared" si="79"/>
        <v>24605441.327340674</v>
      </c>
      <c r="N51" s="79">
        <f t="shared" si="79"/>
        <v>24632517.267039396</v>
      </c>
      <c r="O51" s="79">
        <f t="shared" si="79"/>
        <v>24659881.622666612</v>
      </c>
      <c r="P51" s="79">
        <f t="shared" si="79"/>
        <v>24688066.908962645</v>
      </c>
      <c r="Q51" s="79">
        <f t="shared" si="79"/>
        <v>24688066.908962645</v>
      </c>
      <c r="R51" s="79">
        <f t="shared" si="79"/>
        <v>24688066.908962645</v>
      </c>
      <c r="S51" s="79">
        <f t="shared" si="79"/>
        <v>24688066.908962645</v>
      </c>
      <c r="T51" s="79">
        <f t="shared" si="79"/>
        <v>24688066.908962645</v>
      </c>
      <c r="U51" s="79">
        <f t="shared" si="79"/>
        <v>24688066.908962645</v>
      </c>
      <c r="V51" s="79">
        <f t="shared" si="79"/>
        <v>24688066.908962645</v>
      </c>
      <c r="W51" s="79">
        <f t="shared" si="79"/>
        <v>24688066.908962645</v>
      </c>
      <c r="X51" s="79">
        <f t="shared" si="79"/>
        <v>24688066.908962645</v>
      </c>
      <c r="Y51" s="79">
        <f t="shared" si="79"/>
        <v>23621476.486673072</v>
      </c>
      <c r="Z51" s="79">
        <f t="shared" si="79"/>
        <v>21878721.441663064</v>
      </c>
      <c r="AA51" s="79">
        <f t="shared" si="79"/>
        <v>17745518.826652937</v>
      </c>
      <c r="AB51" s="79">
        <f t="shared" si="79"/>
        <v>14320551.803783761</v>
      </c>
      <c r="AC51" s="79">
        <f t="shared" si="79"/>
        <v>10775657.212267755</v>
      </c>
      <c r="AD51" s="79">
        <f t="shared" si="79"/>
        <v>7124415.7830062695</v>
      </c>
      <c r="AE51" s="79">
        <f t="shared" si="79"/>
        <v>3363637.1108669383</v>
      </c>
      <c r="AF51" s="79">
        <f t="shared" si="79"/>
        <v>114344.59639890766</v>
      </c>
      <c r="AG51" s="79">
        <f t="shared" si="79"/>
        <v>82625.581621972946</v>
      </c>
      <c r="AH51" s="79">
        <f t="shared" si="79"/>
        <v>55549.641923248957</v>
      </c>
      <c r="AI51" s="79">
        <f t="shared" si="79"/>
        <v>28185.286296032715</v>
      </c>
      <c r="AJ51" s="79">
        <f t="shared" si="79"/>
        <v>0</v>
      </c>
      <c r="AK51" s="79">
        <f t="shared" si="79"/>
        <v>0</v>
      </c>
      <c r="AL51" s="79">
        <f t="shared" si="79"/>
        <v>0</v>
      </c>
      <c r="AM51" s="79">
        <f t="shared" si="79"/>
        <v>0</v>
      </c>
      <c r="AN51" s="79">
        <f t="shared" si="79"/>
        <v>0</v>
      </c>
      <c r="AO51" s="79">
        <f t="shared" si="79"/>
        <v>0</v>
      </c>
      <c r="AP51" s="79">
        <f t="shared" si="79"/>
        <v>0</v>
      </c>
      <c r="AQ51" s="79">
        <f t="shared" ref="AQ51:AX51" si="80">SUM(AQ39:AQ50)</f>
        <v>0</v>
      </c>
      <c r="AR51" s="79">
        <f t="shared" si="80"/>
        <v>0</v>
      </c>
      <c r="AS51" s="79">
        <f t="shared" si="80"/>
        <v>0</v>
      </c>
      <c r="AT51" s="79">
        <f t="shared" si="80"/>
        <v>0</v>
      </c>
      <c r="AU51" s="79">
        <f t="shared" si="80"/>
        <v>0</v>
      </c>
      <c r="AV51" s="79">
        <f t="shared" si="80"/>
        <v>0</v>
      </c>
      <c r="AW51" s="79">
        <f t="shared" si="80"/>
        <v>0</v>
      </c>
      <c r="AX51" s="79">
        <f t="shared" si="80"/>
        <v>0</v>
      </c>
      <c r="AY51" s="79">
        <f t="shared" ref="AY51:BB51" si="81">SUM(AY39:AY50)</f>
        <v>0</v>
      </c>
      <c r="AZ51" s="79">
        <f t="shared" si="81"/>
        <v>0</v>
      </c>
      <c r="BA51" s="79">
        <f t="shared" si="81"/>
        <v>0</v>
      </c>
      <c r="BB51" s="79">
        <f t="shared" si="81"/>
        <v>0</v>
      </c>
      <c r="BC51" s="79">
        <f t="shared" ref="BC51:BK51" si="82">SUM(BC39:BC50)</f>
        <v>0</v>
      </c>
      <c r="BD51" s="79">
        <f t="shared" si="82"/>
        <v>0</v>
      </c>
      <c r="BE51" s="79">
        <f t="shared" si="82"/>
        <v>0</v>
      </c>
      <c r="BF51" s="79">
        <f t="shared" si="82"/>
        <v>0</v>
      </c>
      <c r="BG51" s="79">
        <f t="shared" si="82"/>
        <v>0</v>
      </c>
      <c r="BH51" s="79">
        <f t="shared" si="82"/>
        <v>0</v>
      </c>
      <c r="BI51" s="79">
        <f t="shared" si="82"/>
        <v>0</v>
      </c>
      <c r="BJ51" s="79">
        <f t="shared" si="82"/>
        <v>0</v>
      </c>
      <c r="BK51" s="79">
        <f t="shared" si="82"/>
        <v>0</v>
      </c>
      <c r="BL51" s="79">
        <f>SUM(BL39:BL50)</f>
        <v>493761338.17925286</v>
      </c>
      <c r="BM51" s="259">
        <f>BL51-BL69</f>
        <v>0</v>
      </c>
    </row>
    <row r="52" spans="1:65" ht="14.5" customHeight="1"/>
    <row r="53" spans="1:65" s="42" customFormat="1" ht="14.5" customHeight="1">
      <c r="A53" s="27" t="s">
        <v>43</v>
      </c>
      <c r="C53" s="230">
        <f>SUM($B51:C51)</f>
        <v>0</v>
      </c>
      <c r="D53" s="230">
        <f>SUM($B51:D51)</f>
        <v>0</v>
      </c>
      <c r="E53" s="230">
        <f>SUM($B51:E51)</f>
        <v>1066590.4222895724</v>
      </c>
      <c r="F53" s="230">
        <f>SUM($B51:F51)</f>
        <v>3875935.8895891495</v>
      </c>
      <c r="G53" s="230">
        <f>SUM($B51:G51)</f>
        <v>10818483.971898858</v>
      </c>
      <c r="H53" s="230">
        <f>SUM($B51:H51)</f>
        <v>21185999.077077739</v>
      </c>
      <c r="I53" s="230">
        <f>SUM($B51:I51)</f>
        <v>35098408.773772627</v>
      </c>
      <c r="J53" s="230">
        <f>SUM($B51:J51)</f>
        <v>52662059.899729006</v>
      </c>
      <c r="K53" s="230">
        <f>SUM($B51:K51)</f>
        <v>73986489.697824717</v>
      </c>
      <c r="L53" s="230">
        <f>SUM($B51:L51)</f>
        <v>98560212.010388464</v>
      </c>
      <c r="M53" s="230">
        <f>SUM($B51:M51)</f>
        <v>123165653.33772914</v>
      </c>
      <c r="N53" s="230">
        <f>SUM($B51:N51)</f>
        <v>147798170.60476854</v>
      </c>
      <c r="O53" s="230">
        <f>SUM($B51:O51)</f>
        <v>172458052.22743517</v>
      </c>
      <c r="P53" s="230">
        <f>SUM($B51:P51)</f>
        <v>197146119.13639781</v>
      </c>
      <c r="Q53" s="230">
        <f>SUM($B51:Q51)</f>
        <v>221834186.04536045</v>
      </c>
      <c r="R53" s="230">
        <f>SUM($B51:R51)</f>
        <v>246522252.95432308</v>
      </c>
      <c r="S53" s="230">
        <f>SUM($B51:S51)</f>
        <v>271210319.86328572</v>
      </c>
      <c r="T53" s="230">
        <f>SUM($B51:T51)</f>
        <v>295898386.77224839</v>
      </c>
      <c r="U53" s="230">
        <f>SUM($B51:U51)</f>
        <v>320586453.68121105</v>
      </c>
      <c r="V53" s="230">
        <f>SUM($B51:V51)</f>
        <v>345274520.59017372</v>
      </c>
      <c r="W53" s="230">
        <f>SUM($B51:W51)</f>
        <v>369962587.49913639</v>
      </c>
      <c r="X53" s="230">
        <f>SUM($B51:X51)</f>
        <v>394650654.40809906</v>
      </c>
      <c r="Y53" s="230">
        <f>SUM($B51:Y51)</f>
        <v>418272130.89477211</v>
      </c>
      <c r="Z53" s="230">
        <f>SUM($B51:Z51)</f>
        <v>440150852.3364352</v>
      </c>
      <c r="AA53" s="230">
        <f>SUM($B51:AA51)</f>
        <v>457896371.16308814</v>
      </c>
      <c r="AB53" s="230">
        <f>SUM($B51:AB51)</f>
        <v>472216922.96687192</v>
      </c>
      <c r="AC53" s="230">
        <f>SUM($B51:AC51)</f>
        <v>482992580.17913967</v>
      </c>
      <c r="AD53" s="230">
        <f>SUM($B51:AD51)</f>
        <v>490116995.96214592</v>
      </c>
      <c r="AE53" s="230">
        <f>SUM($B51:AE51)</f>
        <v>493480633.07301289</v>
      </c>
      <c r="AF53" s="230">
        <f>SUM($B51:AF51)</f>
        <v>493594977.66941178</v>
      </c>
      <c r="AG53" s="230">
        <f>SUM($B51:AG51)</f>
        <v>493677603.25103372</v>
      </c>
      <c r="AH53" s="230">
        <f>SUM($B51:AH51)</f>
        <v>493733152.89295697</v>
      </c>
      <c r="AI53" s="230">
        <f>SUM($B51:AI51)</f>
        <v>493761338.17925298</v>
      </c>
      <c r="AJ53" s="230">
        <f>SUM($B51:AJ51)</f>
        <v>493761338.17925298</v>
      </c>
      <c r="AK53" s="230">
        <f>SUM($B51:AK51)</f>
        <v>493761338.17925298</v>
      </c>
      <c r="AL53" s="230">
        <f>SUM($B51:AL51)</f>
        <v>493761338.17925298</v>
      </c>
      <c r="AM53" s="230">
        <f>SUM($B51:AM51)</f>
        <v>493761338.17925298</v>
      </c>
      <c r="AN53" s="230">
        <f>SUM($B51:AN51)</f>
        <v>493761338.17925298</v>
      </c>
      <c r="AO53" s="230">
        <f>SUM($B51:AO51)</f>
        <v>493761338.17925298</v>
      </c>
      <c r="AP53" s="230">
        <f>SUM($B51:AP51)</f>
        <v>493761338.17925298</v>
      </c>
      <c r="AQ53" s="230">
        <f>SUM($B51:AQ51)</f>
        <v>493761338.17925298</v>
      </c>
      <c r="AR53" s="230">
        <f>SUM($B51:AR51)</f>
        <v>493761338.17925298</v>
      </c>
      <c r="AS53" s="230">
        <f>SUM($B51:AS51)</f>
        <v>493761338.17925298</v>
      </c>
      <c r="AT53" s="230">
        <f>SUM($B51:AT51)</f>
        <v>493761338.17925298</v>
      </c>
      <c r="AU53" s="230">
        <f>SUM($B51:AU51)</f>
        <v>493761338.17925298</v>
      </c>
      <c r="AV53" s="230">
        <f>SUM($B51:AV51)</f>
        <v>493761338.17925298</v>
      </c>
      <c r="AW53" s="230">
        <f>SUM($B51:AW51)</f>
        <v>493761338.17925298</v>
      </c>
      <c r="AX53" s="230">
        <f>SUM($B51:AX51)</f>
        <v>493761338.17925298</v>
      </c>
      <c r="AY53" s="230">
        <f>SUM($B51:AY51)</f>
        <v>493761338.17925298</v>
      </c>
      <c r="AZ53" s="230">
        <f>SUM($B51:AZ51)</f>
        <v>493761338.17925298</v>
      </c>
      <c r="BA53" s="230">
        <f>SUM($B51:BA51)</f>
        <v>493761338.17925298</v>
      </c>
      <c r="BB53" s="230">
        <f>SUM($B51:BB51)</f>
        <v>493761338.17925298</v>
      </c>
      <c r="BC53" s="230">
        <f>SUM($B51:BC51)</f>
        <v>493761338.17925298</v>
      </c>
      <c r="BD53" s="230">
        <f>SUM($B51:BD51)</f>
        <v>493761338.17925298</v>
      </c>
      <c r="BE53" s="230">
        <f>SUM($B51:BE51)</f>
        <v>493761338.17925298</v>
      </c>
      <c r="BF53" s="230">
        <f>SUM($B51:BF51)</f>
        <v>493761338.17925298</v>
      </c>
      <c r="BG53" s="230">
        <f>SUM($B51:BG51)</f>
        <v>493761338.17925298</v>
      </c>
      <c r="BH53" s="230">
        <f>SUM($B51:BH51)</f>
        <v>493761338.17925298</v>
      </c>
      <c r="BI53" s="230">
        <f>SUM($B51:BI51)</f>
        <v>493761338.17925298</v>
      </c>
      <c r="BJ53" s="230">
        <f>SUM($B51:BJ51)</f>
        <v>493761338.17925298</v>
      </c>
      <c r="BK53" s="230">
        <f>SUM($B51:BK51)</f>
        <v>493761338.17925298</v>
      </c>
      <c r="BL53" s="230"/>
      <c r="BM53" s="257"/>
    </row>
    <row r="54" spans="1:65" ht="14.5" customHeight="1"/>
    <row r="55" spans="1:65" ht="14.5" customHeight="1"/>
    <row r="56" spans="1:65" ht="14.5" customHeight="1">
      <c r="A56" s="27" t="s">
        <v>41</v>
      </c>
      <c r="B56" s="39" t="s">
        <v>164</v>
      </c>
    </row>
    <row r="57" spans="1:65" ht="14.5" customHeight="1">
      <c r="A57" s="25" t="str">
        <f t="shared" ref="A57:A66" si="83">A39</f>
        <v>Capital Expenditure 1</v>
      </c>
      <c r="B57" s="32">
        <f>'Project Assumptions'!D25</f>
        <v>10</v>
      </c>
      <c r="C57" s="32">
        <f t="shared" ref="C57:AH57" si="84">IF($B57="Amortize",C39,IF(C$4&gt;=$B23,VLOOKUP($B57,MACRS_TABLE,C$4-$B23+2,FALSE),0)*C23)</f>
        <v>0</v>
      </c>
      <c r="D57" s="32">
        <f t="shared" si="84"/>
        <v>2133180.8445791448</v>
      </c>
      <c r="E57" s="32">
        <f t="shared" si="84"/>
        <v>3839725.5202424605</v>
      </c>
      <c r="F57" s="32">
        <f t="shared" si="84"/>
        <v>3071780.4161939686</v>
      </c>
      <c r="G57" s="32">
        <f t="shared" si="84"/>
        <v>2457424.3329551751</v>
      </c>
      <c r="H57" s="32">
        <f t="shared" si="84"/>
        <v>1965939.4663641397</v>
      </c>
      <c r="I57" s="32">
        <f t="shared" si="84"/>
        <v>1572751.5730913116</v>
      </c>
      <c r="J57" s="32">
        <f t="shared" si="84"/>
        <v>1398001.3983033882</v>
      </c>
      <c r="K57" s="32">
        <f t="shared" si="84"/>
        <v>1398001.3983033882</v>
      </c>
      <c r="L57" s="32">
        <f t="shared" si="84"/>
        <v>1398001.3983033882</v>
      </c>
      <c r="M57" s="32">
        <f t="shared" si="84"/>
        <v>1398001.3983033882</v>
      </c>
      <c r="N57" s="32">
        <f t="shared" si="84"/>
        <v>699000.69915169221</v>
      </c>
      <c r="O57" s="32">
        <f t="shared" si="84"/>
        <v>0</v>
      </c>
      <c r="P57" s="32">
        <f t="shared" si="84"/>
        <v>0</v>
      </c>
      <c r="Q57" s="32">
        <f t="shared" si="84"/>
        <v>0</v>
      </c>
      <c r="R57" s="32">
        <f t="shared" si="84"/>
        <v>0</v>
      </c>
      <c r="S57" s="32">
        <f t="shared" si="84"/>
        <v>0</v>
      </c>
      <c r="T57" s="32">
        <f t="shared" si="84"/>
        <v>0</v>
      </c>
      <c r="U57" s="32">
        <f t="shared" si="84"/>
        <v>0</v>
      </c>
      <c r="V57" s="32">
        <f t="shared" si="84"/>
        <v>0</v>
      </c>
      <c r="W57" s="32">
        <f t="shared" si="84"/>
        <v>0</v>
      </c>
      <c r="X57" s="32">
        <f t="shared" si="84"/>
        <v>0</v>
      </c>
      <c r="Y57" s="32">
        <f t="shared" si="84"/>
        <v>0</v>
      </c>
      <c r="Z57" s="32">
        <f t="shared" si="84"/>
        <v>0</v>
      </c>
      <c r="AA57" s="32">
        <f t="shared" si="84"/>
        <v>0</v>
      </c>
      <c r="AB57" s="32">
        <f t="shared" si="84"/>
        <v>0</v>
      </c>
      <c r="AC57" s="32">
        <f t="shared" si="84"/>
        <v>0</v>
      </c>
      <c r="AD57" s="32">
        <f t="shared" si="84"/>
        <v>0</v>
      </c>
      <c r="AE57" s="32">
        <f t="shared" si="84"/>
        <v>0</v>
      </c>
      <c r="AF57" s="32">
        <f t="shared" si="84"/>
        <v>0</v>
      </c>
      <c r="AG57" s="32">
        <f t="shared" si="84"/>
        <v>0</v>
      </c>
      <c r="AH57" s="32">
        <f t="shared" si="84"/>
        <v>0</v>
      </c>
      <c r="AI57" s="32">
        <f t="shared" ref="AI57:BK57" si="85">IF($B57="Amortize",AI39,IF(AI$4&gt;=$B23,VLOOKUP($B57,MACRS_TABLE,AI$4-$B23+2,FALSE),0)*AI23)</f>
        <v>0</v>
      </c>
      <c r="AJ57" s="32">
        <f t="shared" si="85"/>
        <v>0</v>
      </c>
      <c r="AK57" s="32">
        <f t="shared" si="85"/>
        <v>0</v>
      </c>
      <c r="AL57" s="32">
        <f t="shared" si="85"/>
        <v>0</v>
      </c>
      <c r="AM57" s="32">
        <f t="shared" si="85"/>
        <v>0</v>
      </c>
      <c r="AN57" s="32">
        <f t="shared" si="85"/>
        <v>0</v>
      </c>
      <c r="AO57" s="32">
        <f t="shared" si="85"/>
        <v>0</v>
      </c>
      <c r="AP57" s="32">
        <f t="shared" si="85"/>
        <v>0</v>
      </c>
      <c r="AQ57" s="32">
        <f t="shared" si="85"/>
        <v>0</v>
      </c>
      <c r="AR57" s="32">
        <f t="shared" si="85"/>
        <v>0</v>
      </c>
      <c r="AS57" s="32">
        <f t="shared" si="85"/>
        <v>0</v>
      </c>
      <c r="AT57" s="32">
        <f t="shared" si="85"/>
        <v>0</v>
      </c>
      <c r="AU57" s="32">
        <f t="shared" si="85"/>
        <v>0</v>
      </c>
      <c r="AV57" s="32">
        <f t="shared" si="85"/>
        <v>0</v>
      </c>
      <c r="AW57" s="32">
        <f t="shared" si="85"/>
        <v>0</v>
      </c>
      <c r="AX57" s="32">
        <f t="shared" si="85"/>
        <v>0</v>
      </c>
      <c r="AY57" s="32">
        <f t="shared" si="85"/>
        <v>0</v>
      </c>
      <c r="AZ57" s="32">
        <f t="shared" si="85"/>
        <v>0</v>
      </c>
      <c r="BA57" s="32">
        <f t="shared" si="85"/>
        <v>0</v>
      </c>
      <c r="BB57" s="32">
        <f t="shared" si="85"/>
        <v>0</v>
      </c>
      <c r="BC57" s="32">
        <f t="shared" si="85"/>
        <v>0</v>
      </c>
      <c r="BD57" s="32">
        <f t="shared" si="85"/>
        <v>0</v>
      </c>
      <c r="BE57" s="32">
        <f t="shared" si="85"/>
        <v>0</v>
      </c>
      <c r="BF57" s="32">
        <f t="shared" si="85"/>
        <v>0</v>
      </c>
      <c r="BG57" s="32">
        <f t="shared" si="85"/>
        <v>0</v>
      </c>
      <c r="BH57" s="32">
        <f t="shared" si="85"/>
        <v>0</v>
      </c>
      <c r="BI57" s="32">
        <f t="shared" si="85"/>
        <v>0</v>
      </c>
      <c r="BJ57" s="32">
        <f t="shared" si="85"/>
        <v>0</v>
      </c>
      <c r="BK57" s="32">
        <f t="shared" si="85"/>
        <v>0</v>
      </c>
      <c r="BL57" s="32">
        <f>SUM(C57:BK57)</f>
        <v>21331808.445791446</v>
      </c>
    </row>
    <row r="58" spans="1:65" ht="14.5" customHeight="1">
      <c r="A58" s="25" t="str">
        <f t="shared" si="83"/>
        <v>Capital Expenditure 2</v>
      </c>
      <c r="B58" s="32">
        <f>'Project Assumptions'!D26</f>
        <v>10</v>
      </c>
      <c r="C58" s="32">
        <f t="shared" ref="C58:AH58" si="86">IF($B58="Amortize",C40,IF(C$4&gt;=$B24,VLOOKUP($B58,MACRS_TABLE,C$4-$B24+2,FALSE),0)*C24)</f>
        <v>0</v>
      </c>
      <c r="D58" s="32">
        <f t="shared" si="86"/>
        <v>0</v>
      </c>
      <c r="E58" s="32">
        <f t="shared" si="86"/>
        <v>3485510.0900200084</v>
      </c>
      <c r="F58" s="32">
        <f t="shared" si="86"/>
        <v>6273918.1620360147</v>
      </c>
      <c r="G58" s="32">
        <f t="shared" si="86"/>
        <v>5019134.5296288114</v>
      </c>
      <c r="H58" s="32">
        <f t="shared" si="86"/>
        <v>4015307.6237030495</v>
      </c>
      <c r="I58" s="32">
        <f t="shared" si="86"/>
        <v>3212246.0989624392</v>
      </c>
      <c r="J58" s="32">
        <f t="shared" si="86"/>
        <v>2569796.8791699512</v>
      </c>
      <c r="K58" s="32">
        <f t="shared" si="86"/>
        <v>2284263.8925955123</v>
      </c>
      <c r="L58" s="32">
        <f t="shared" si="86"/>
        <v>2284263.8925955123</v>
      </c>
      <c r="M58" s="32">
        <f t="shared" si="86"/>
        <v>2284263.8925955123</v>
      </c>
      <c r="N58" s="32">
        <f t="shared" si="86"/>
        <v>2284263.8925955123</v>
      </c>
      <c r="O58" s="32">
        <f t="shared" si="86"/>
        <v>1142131.9462977531</v>
      </c>
      <c r="P58" s="32">
        <f t="shared" si="86"/>
        <v>0</v>
      </c>
      <c r="Q58" s="32">
        <f t="shared" si="86"/>
        <v>0</v>
      </c>
      <c r="R58" s="32">
        <f t="shared" si="86"/>
        <v>0</v>
      </c>
      <c r="S58" s="32">
        <f t="shared" si="86"/>
        <v>0</v>
      </c>
      <c r="T58" s="32">
        <f t="shared" si="86"/>
        <v>0</v>
      </c>
      <c r="U58" s="32">
        <f t="shared" si="86"/>
        <v>0</v>
      </c>
      <c r="V58" s="32">
        <f t="shared" si="86"/>
        <v>0</v>
      </c>
      <c r="W58" s="32">
        <f t="shared" si="86"/>
        <v>0</v>
      </c>
      <c r="X58" s="32">
        <f t="shared" si="86"/>
        <v>0</v>
      </c>
      <c r="Y58" s="32">
        <f t="shared" si="86"/>
        <v>0</v>
      </c>
      <c r="Z58" s="32">
        <f t="shared" si="86"/>
        <v>0</v>
      </c>
      <c r="AA58" s="32">
        <f t="shared" si="86"/>
        <v>0</v>
      </c>
      <c r="AB58" s="32">
        <f t="shared" si="86"/>
        <v>0</v>
      </c>
      <c r="AC58" s="32">
        <f t="shared" si="86"/>
        <v>0</v>
      </c>
      <c r="AD58" s="32">
        <f t="shared" si="86"/>
        <v>0</v>
      </c>
      <c r="AE58" s="32">
        <f t="shared" si="86"/>
        <v>0</v>
      </c>
      <c r="AF58" s="32">
        <f t="shared" si="86"/>
        <v>0</v>
      </c>
      <c r="AG58" s="32">
        <f t="shared" si="86"/>
        <v>0</v>
      </c>
      <c r="AH58" s="32">
        <f t="shared" si="86"/>
        <v>0</v>
      </c>
      <c r="AI58" s="32">
        <f t="shared" ref="AI58:BK58" si="87">IF($B58="Amortize",AI40,IF(AI$4&gt;=$B24,VLOOKUP($B58,MACRS_TABLE,AI$4-$B24+2,FALSE),0)*AI24)</f>
        <v>0</v>
      </c>
      <c r="AJ58" s="32">
        <f t="shared" si="87"/>
        <v>0</v>
      </c>
      <c r="AK58" s="32">
        <f t="shared" si="87"/>
        <v>0</v>
      </c>
      <c r="AL58" s="32">
        <f t="shared" si="87"/>
        <v>0</v>
      </c>
      <c r="AM58" s="32">
        <f t="shared" si="87"/>
        <v>0</v>
      </c>
      <c r="AN58" s="32">
        <f t="shared" si="87"/>
        <v>0</v>
      </c>
      <c r="AO58" s="32">
        <f t="shared" si="87"/>
        <v>0</v>
      </c>
      <c r="AP58" s="32">
        <f t="shared" si="87"/>
        <v>0</v>
      </c>
      <c r="AQ58" s="32">
        <f t="shared" si="87"/>
        <v>0</v>
      </c>
      <c r="AR58" s="32">
        <f t="shared" si="87"/>
        <v>0</v>
      </c>
      <c r="AS58" s="32">
        <f t="shared" si="87"/>
        <v>0</v>
      </c>
      <c r="AT58" s="32">
        <f t="shared" si="87"/>
        <v>0</v>
      </c>
      <c r="AU58" s="32">
        <f t="shared" si="87"/>
        <v>0</v>
      </c>
      <c r="AV58" s="32">
        <f t="shared" si="87"/>
        <v>0</v>
      </c>
      <c r="AW58" s="32">
        <f t="shared" si="87"/>
        <v>0</v>
      </c>
      <c r="AX58" s="32">
        <f t="shared" si="87"/>
        <v>0</v>
      </c>
      <c r="AY58" s="32">
        <f t="shared" si="87"/>
        <v>0</v>
      </c>
      <c r="AZ58" s="32">
        <f t="shared" si="87"/>
        <v>0</v>
      </c>
      <c r="BA58" s="32">
        <f t="shared" si="87"/>
        <v>0</v>
      </c>
      <c r="BB58" s="32">
        <f t="shared" si="87"/>
        <v>0</v>
      </c>
      <c r="BC58" s="32">
        <f t="shared" si="87"/>
        <v>0</v>
      </c>
      <c r="BD58" s="32">
        <f t="shared" si="87"/>
        <v>0</v>
      </c>
      <c r="BE58" s="32">
        <f t="shared" si="87"/>
        <v>0</v>
      </c>
      <c r="BF58" s="32">
        <f t="shared" si="87"/>
        <v>0</v>
      </c>
      <c r="BG58" s="32">
        <f t="shared" si="87"/>
        <v>0</v>
      </c>
      <c r="BH58" s="32">
        <f t="shared" si="87"/>
        <v>0</v>
      </c>
      <c r="BI58" s="32">
        <f t="shared" si="87"/>
        <v>0</v>
      </c>
      <c r="BJ58" s="32">
        <f t="shared" si="87"/>
        <v>0</v>
      </c>
      <c r="BK58" s="32">
        <f t="shared" si="87"/>
        <v>0</v>
      </c>
      <c r="BL58" s="32">
        <f t="shared" ref="BL58:BL68" si="88">SUM(C58:BK58)</f>
        <v>34855100.900200076</v>
      </c>
    </row>
    <row r="59" spans="1:65" ht="14.5" customHeight="1">
      <c r="A59" s="25" t="str">
        <f t="shared" si="83"/>
        <v>Capital Expenditure 3</v>
      </c>
      <c r="B59" s="32">
        <f>'Project Assumptions'!D27</f>
        <v>10</v>
      </c>
      <c r="C59" s="32">
        <f t="shared" ref="C59:AH59" si="89">IF($B59="Amortize",C41,IF(C$4&gt;=$B25,VLOOKUP($B59,MACRS_TABLE,C$4-$B25+2,FALSE),0)*C25)</f>
        <v>0</v>
      </c>
      <c r="D59" s="32">
        <f t="shared" si="89"/>
        <v>0</v>
      </c>
      <c r="E59" s="32">
        <f t="shared" si="89"/>
        <v>0</v>
      </c>
      <c r="F59" s="32">
        <f t="shared" si="89"/>
        <v>8266405.2300202614</v>
      </c>
      <c r="G59" s="32">
        <f t="shared" si="89"/>
        <v>14879529.41403647</v>
      </c>
      <c r="H59" s="32">
        <f t="shared" si="89"/>
        <v>11903623.531229174</v>
      </c>
      <c r="I59" s="32">
        <f t="shared" si="89"/>
        <v>9522898.8249833398</v>
      </c>
      <c r="J59" s="32">
        <f t="shared" si="89"/>
        <v>7618319.0599866714</v>
      </c>
      <c r="K59" s="32">
        <f t="shared" si="89"/>
        <v>6094655.247989337</v>
      </c>
      <c r="L59" s="32">
        <f t="shared" si="89"/>
        <v>5417471.3315460766</v>
      </c>
      <c r="M59" s="32">
        <f t="shared" si="89"/>
        <v>5417471.3315460766</v>
      </c>
      <c r="N59" s="32">
        <f t="shared" si="89"/>
        <v>5417471.3315460766</v>
      </c>
      <c r="O59" s="32">
        <f t="shared" si="89"/>
        <v>5417471.3315460766</v>
      </c>
      <c r="P59" s="32">
        <f t="shared" si="89"/>
        <v>2708735.6657730313</v>
      </c>
      <c r="Q59" s="32">
        <f t="shared" si="89"/>
        <v>0</v>
      </c>
      <c r="R59" s="32">
        <f t="shared" si="89"/>
        <v>0</v>
      </c>
      <c r="S59" s="32">
        <f t="shared" si="89"/>
        <v>0</v>
      </c>
      <c r="T59" s="32">
        <f t="shared" si="89"/>
        <v>0</v>
      </c>
      <c r="U59" s="32">
        <f t="shared" si="89"/>
        <v>0</v>
      </c>
      <c r="V59" s="32">
        <f t="shared" si="89"/>
        <v>0</v>
      </c>
      <c r="W59" s="32">
        <f t="shared" si="89"/>
        <v>0</v>
      </c>
      <c r="X59" s="32">
        <f t="shared" si="89"/>
        <v>0</v>
      </c>
      <c r="Y59" s="32">
        <f t="shared" si="89"/>
        <v>0</v>
      </c>
      <c r="Z59" s="32">
        <f t="shared" si="89"/>
        <v>0</v>
      </c>
      <c r="AA59" s="32">
        <f t="shared" si="89"/>
        <v>0</v>
      </c>
      <c r="AB59" s="32">
        <f t="shared" si="89"/>
        <v>0</v>
      </c>
      <c r="AC59" s="32">
        <f t="shared" si="89"/>
        <v>0</v>
      </c>
      <c r="AD59" s="32">
        <f t="shared" si="89"/>
        <v>0</v>
      </c>
      <c r="AE59" s="32">
        <f t="shared" si="89"/>
        <v>0</v>
      </c>
      <c r="AF59" s="32">
        <f t="shared" si="89"/>
        <v>0</v>
      </c>
      <c r="AG59" s="32">
        <f t="shared" si="89"/>
        <v>0</v>
      </c>
      <c r="AH59" s="32">
        <f t="shared" si="89"/>
        <v>0</v>
      </c>
      <c r="AI59" s="32">
        <f t="shared" ref="AI59:BK59" si="90">IF($B59="Amortize",AI41,IF(AI$4&gt;=$B25,VLOOKUP($B59,MACRS_TABLE,AI$4-$B25+2,FALSE),0)*AI25)</f>
        <v>0</v>
      </c>
      <c r="AJ59" s="32">
        <f t="shared" si="90"/>
        <v>0</v>
      </c>
      <c r="AK59" s="32">
        <f t="shared" si="90"/>
        <v>0</v>
      </c>
      <c r="AL59" s="32">
        <f t="shared" si="90"/>
        <v>0</v>
      </c>
      <c r="AM59" s="32">
        <f t="shared" si="90"/>
        <v>0</v>
      </c>
      <c r="AN59" s="32">
        <f t="shared" si="90"/>
        <v>0</v>
      </c>
      <c r="AO59" s="32">
        <f t="shared" si="90"/>
        <v>0</v>
      </c>
      <c r="AP59" s="32">
        <f t="shared" si="90"/>
        <v>0</v>
      </c>
      <c r="AQ59" s="32">
        <f t="shared" si="90"/>
        <v>0</v>
      </c>
      <c r="AR59" s="32">
        <f t="shared" si="90"/>
        <v>0</v>
      </c>
      <c r="AS59" s="32">
        <f t="shared" si="90"/>
        <v>0</v>
      </c>
      <c r="AT59" s="32">
        <f t="shared" si="90"/>
        <v>0</v>
      </c>
      <c r="AU59" s="32">
        <f t="shared" si="90"/>
        <v>0</v>
      </c>
      <c r="AV59" s="32">
        <f t="shared" si="90"/>
        <v>0</v>
      </c>
      <c r="AW59" s="32">
        <f t="shared" si="90"/>
        <v>0</v>
      </c>
      <c r="AX59" s="32">
        <f t="shared" si="90"/>
        <v>0</v>
      </c>
      <c r="AY59" s="32">
        <f t="shared" si="90"/>
        <v>0</v>
      </c>
      <c r="AZ59" s="32">
        <f t="shared" si="90"/>
        <v>0</v>
      </c>
      <c r="BA59" s="32">
        <f t="shared" si="90"/>
        <v>0</v>
      </c>
      <c r="BB59" s="32">
        <f t="shared" si="90"/>
        <v>0</v>
      </c>
      <c r="BC59" s="32">
        <f t="shared" si="90"/>
        <v>0</v>
      </c>
      <c r="BD59" s="32">
        <f t="shared" si="90"/>
        <v>0</v>
      </c>
      <c r="BE59" s="32">
        <f t="shared" si="90"/>
        <v>0</v>
      </c>
      <c r="BF59" s="32">
        <f t="shared" si="90"/>
        <v>0</v>
      </c>
      <c r="BG59" s="32">
        <f t="shared" si="90"/>
        <v>0</v>
      </c>
      <c r="BH59" s="32">
        <f t="shared" si="90"/>
        <v>0</v>
      </c>
      <c r="BI59" s="32">
        <f t="shared" si="90"/>
        <v>0</v>
      </c>
      <c r="BJ59" s="32">
        <f t="shared" si="90"/>
        <v>0</v>
      </c>
      <c r="BK59" s="32">
        <f t="shared" si="90"/>
        <v>0</v>
      </c>
      <c r="BL59" s="32">
        <f t="shared" si="88"/>
        <v>82664052.300202608</v>
      </c>
    </row>
    <row r="60" spans="1:65" ht="14.5" customHeight="1">
      <c r="A60" s="25" t="str">
        <f t="shared" si="83"/>
        <v xml:space="preserve">Capital Expenditure 4 </v>
      </c>
      <c r="B60" s="32">
        <f>'Project Assumptions'!D28</f>
        <v>10</v>
      </c>
      <c r="C60" s="32">
        <f t="shared" ref="C60:AH60" si="91">IF($B60="Amortize",C42,IF(C$4&gt;=$B26,VLOOKUP($B60,MACRS_TABLE,C$4-$B26+2,FALSE),0)*C26)</f>
        <v>0</v>
      </c>
      <c r="D60" s="32">
        <f t="shared" si="91"/>
        <v>0</v>
      </c>
      <c r="E60" s="32">
        <f t="shared" si="91"/>
        <v>0</v>
      </c>
      <c r="F60" s="32">
        <f t="shared" si="91"/>
        <v>0</v>
      </c>
      <c r="G60" s="32">
        <f t="shared" si="91"/>
        <v>6849934.0457383506</v>
      </c>
      <c r="H60" s="32">
        <f t="shared" si="91"/>
        <v>12329881.282329028</v>
      </c>
      <c r="I60" s="32">
        <f t="shared" si="91"/>
        <v>9863905.0258632228</v>
      </c>
      <c r="J60" s="32">
        <f t="shared" si="91"/>
        <v>7891124.020690579</v>
      </c>
      <c r="K60" s="32">
        <f t="shared" si="91"/>
        <v>6312899.2165524624</v>
      </c>
      <c r="L60" s="32">
        <f t="shared" si="91"/>
        <v>5050319.3732419694</v>
      </c>
      <c r="M60" s="32">
        <f t="shared" si="91"/>
        <v>4489172.7762150839</v>
      </c>
      <c r="N60" s="32">
        <f t="shared" si="91"/>
        <v>4489172.7762150839</v>
      </c>
      <c r="O60" s="32">
        <f t="shared" si="91"/>
        <v>4489172.7762150839</v>
      </c>
      <c r="P60" s="32">
        <f t="shared" si="91"/>
        <v>4489172.7762150839</v>
      </c>
      <c r="Q60" s="32">
        <f t="shared" si="91"/>
        <v>2244586.3881075364</v>
      </c>
      <c r="R60" s="32">
        <f t="shared" si="91"/>
        <v>0</v>
      </c>
      <c r="S60" s="32">
        <f t="shared" si="91"/>
        <v>0</v>
      </c>
      <c r="T60" s="32">
        <f t="shared" si="91"/>
        <v>0</v>
      </c>
      <c r="U60" s="32">
        <f t="shared" si="91"/>
        <v>0</v>
      </c>
      <c r="V60" s="32">
        <f t="shared" si="91"/>
        <v>0</v>
      </c>
      <c r="W60" s="32">
        <f t="shared" si="91"/>
        <v>0</v>
      </c>
      <c r="X60" s="32">
        <f t="shared" si="91"/>
        <v>0</v>
      </c>
      <c r="Y60" s="32">
        <f t="shared" si="91"/>
        <v>0</v>
      </c>
      <c r="Z60" s="32">
        <f t="shared" si="91"/>
        <v>0</v>
      </c>
      <c r="AA60" s="32">
        <f t="shared" si="91"/>
        <v>0</v>
      </c>
      <c r="AB60" s="32">
        <f t="shared" si="91"/>
        <v>0</v>
      </c>
      <c r="AC60" s="32">
        <f t="shared" si="91"/>
        <v>0</v>
      </c>
      <c r="AD60" s="32">
        <f t="shared" si="91"/>
        <v>0</v>
      </c>
      <c r="AE60" s="32">
        <f t="shared" si="91"/>
        <v>0</v>
      </c>
      <c r="AF60" s="32">
        <f t="shared" si="91"/>
        <v>0</v>
      </c>
      <c r="AG60" s="32">
        <f t="shared" si="91"/>
        <v>0</v>
      </c>
      <c r="AH60" s="32">
        <f t="shared" si="91"/>
        <v>0</v>
      </c>
      <c r="AI60" s="32">
        <f t="shared" ref="AI60:BK60" si="92">IF($B60="Amortize",AI42,IF(AI$4&gt;=$B26,VLOOKUP($B60,MACRS_TABLE,AI$4-$B26+2,FALSE),0)*AI26)</f>
        <v>0</v>
      </c>
      <c r="AJ60" s="32">
        <f t="shared" si="92"/>
        <v>0</v>
      </c>
      <c r="AK60" s="32">
        <f t="shared" si="92"/>
        <v>0</v>
      </c>
      <c r="AL60" s="32">
        <f t="shared" si="92"/>
        <v>0</v>
      </c>
      <c r="AM60" s="32">
        <f t="shared" si="92"/>
        <v>0</v>
      </c>
      <c r="AN60" s="32">
        <f t="shared" si="92"/>
        <v>0</v>
      </c>
      <c r="AO60" s="32">
        <f t="shared" si="92"/>
        <v>0</v>
      </c>
      <c r="AP60" s="32">
        <f t="shared" si="92"/>
        <v>0</v>
      </c>
      <c r="AQ60" s="32">
        <f t="shared" si="92"/>
        <v>0</v>
      </c>
      <c r="AR60" s="32">
        <f t="shared" si="92"/>
        <v>0</v>
      </c>
      <c r="AS60" s="32">
        <f t="shared" si="92"/>
        <v>0</v>
      </c>
      <c r="AT60" s="32">
        <f t="shared" si="92"/>
        <v>0</v>
      </c>
      <c r="AU60" s="32">
        <f t="shared" si="92"/>
        <v>0</v>
      </c>
      <c r="AV60" s="32">
        <f t="shared" si="92"/>
        <v>0</v>
      </c>
      <c r="AW60" s="32">
        <f t="shared" si="92"/>
        <v>0</v>
      </c>
      <c r="AX60" s="32">
        <f t="shared" si="92"/>
        <v>0</v>
      </c>
      <c r="AY60" s="32">
        <f t="shared" si="92"/>
        <v>0</v>
      </c>
      <c r="AZ60" s="32">
        <f t="shared" si="92"/>
        <v>0</v>
      </c>
      <c r="BA60" s="32">
        <f t="shared" si="92"/>
        <v>0</v>
      </c>
      <c r="BB60" s="32">
        <f t="shared" si="92"/>
        <v>0</v>
      </c>
      <c r="BC60" s="32">
        <f t="shared" si="92"/>
        <v>0</v>
      </c>
      <c r="BD60" s="32">
        <f t="shared" si="92"/>
        <v>0</v>
      </c>
      <c r="BE60" s="32">
        <f t="shared" si="92"/>
        <v>0</v>
      </c>
      <c r="BF60" s="32">
        <f t="shared" si="92"/>
        <v>0</v>
      </c>
      <c r="BG60" s="32">
        <f t="shared" si="92"/>
        <v>0</v>
      </c>
      <c r="BH60" s="32">
        <f t="shared" si="92"/>
        <v>0</v>
      </c>
      <c r="BI60" s="32">
        <f t="shared" si="92"/>
        <v>0</v>
      </c>
      <c r="BJ60" s="32">
        <f t="shared" si="92"/>
        <v>0</v>
      </c>
      <c r="BK60" s="32">
        <f t="shared" si="92"/>
        <v>0</v>
      </c>
      <c r="BL60" s="32">
        <f t="shared" si="88"/>
        <v>68499340.457383484</v>
      </c>
    </row>
    <row r="61" spans="1:65" ht="14.5" customHeight="1">
      <c r="A61" s="25" t="str">
        <f t="shared" si="83"/>
        <v xml:space="preserve">Capital Expenditure 5 </v>
      </c>
      <c r="B61" s="32">
        <f>'Project Assumptions'!D29</f>
        <v>10</v>
      </c>
      <c r="C61" s="32">
        <f t="shared" ref="C61:AH61" si="93">IF($B61="Amortize",C43,IF(C$4&gt;=$B27,VLOOKUP($B61,MACRS_TABLE,C$4-$B27+2,FALSE),0)*C27)</f>
        <v>0</v>
      </c>
      <c r="D61" s="32">
        <f t="shared" si="93"/>
        <v>0</v>
      </c>
      <c r="E61" s="32">
        <f t="shared" si="93"/>
        <v>0</v>
      </c>
      <c r="F61" s="32">
        <f t="shared" si="93"/>
        <v>0</v>
      </c>
      <c r="G61" s="32">
        <f t="shared" si="93"/>
        <v>0</v>
      </c>
      <c r="H61" s="32">
        <f t="shared" si="93"/>
        <v>7089789.1830320135</v>
      </c>
      <c r="I61" s="32">
        <f t="shared" si="93"/>
        <v>12761620.529457623</v>
      </c>
      <c r="J61" s="32">
        <f t="shared" si="93"/>
        <v>10209296.423566099</v>
      </c>
      <c r="K61" s="32">
        <f t="shared" si="93"/>
        <v>8167437.1388528794</v>
      </c>
      <c r="L61" s="32">
        <f t="shared" si="93"/>
        <v>6533949.711082303</v>
      </c>
      <c r="M61" s="32">
        <f t="shared" si="93"/>
        <v>5227159.7688658424</v>
      </c>
      <c r="N61" s="32">
        <f t="shared" si="93"/>
        <v>4646364.2389918594</v>
      </c>
      <c r="O61" s="32">
        <f t="shared" si="93"/>
        <v>4646364.2389918594</v>
      </c>
      <c r="P61" s="32">
        <f t="shared" si="93"/>
        <v>4646364.2389918594</v>
      </c>
      <c r="Q61" s="32">
        <f t="shared" si="93"/>
        <v>4646364.2389918594</v>
      </c>
      <c r="R61" s="32">
        <f t="shared" si="93"/>
        <v>2323182.1194959236</v>
      </c>
      <c r="S61" s="32">
        <f t="shared" si="93"/>
        <v>0</v>
      </c>
      <c r="T61" s="32">
        <f t="shared" si="93"/>
        <v>0</v>
      </c>
      <c r="U61" s="32">
        <f t="shared" si="93"/>
        <v>0</v>
      </c>
      <c r="V61" s="32">
        <f t="shared" si="93"/>
        <v>0</v>
      </c>
      <c r="W61" s="32">
        <f t="shared" si="93"/>
        <v>0</v>
      </c>
      <c r="X61" s="32">
        <f t="shared" si="93"/>
        <v>0</v>
      </c>
      <c r="Y61" s="32">
        <f t="shared" si="93"/>
        <v>0</v>
      </c>
      <c r="Z61" s="32">
        <f t="shared" si="93"/>
        <v>0</v>
      </c>
      <c r="AA61" s="32">
        <f t="shared" si="93"/>
        <v>0</v>
      </c>
      <c r="AB61" s="32">
        <f t="shared" si="93"/>
        <v>0</v>
      </c>
      <c r="AC61" s="32">
        <f t="shared" si="93"/>
        <v>0</v>
      </c>
      <c r="AD61" s="32">
        <f t="shared" si="93"/>
        <v>0</v>
      </c>
      <c r="AE61" s="32">
        <f t="shared" si="93"/>
        <v>0</v>
      </c>
      <c r="AF61" s="32">
        <f t="shared" si="93"/>
        <v>0</v>
      </c>
      <c r="AG61" s="32">
        <f t="shared" si="93"/>
        <v>0</v>
      </c>
      <c r="AH61" s="32">
        <f t="shared" si="93"/>
        <v>0</v>
      </c>
      <c r="AI61" s="32">
        <f t="shared" ref="AI61:BK61" si="94">IF($B61="Amortize",AI43,IF(AI$4&gt;=$B27,VLOOKUP($B61,MACRS_TABLE,AI$4-$B27+2,FALSE),0)*AI27)</f>
        <v>0</v>
      </c>
      <c r="AJ61" s="32">
        <f t="shared" si="94"/>
        <v>0</v>
      </c>
      <c r="AK61" s="32">
        <f t="shared" si="94"/>
        <v>0</v>
      </c>
      <c r="AL61" s="32">
        <f t="shared" si="94"/>
        <v>0</v>
      </c>
      <c r="AM61" s="32">
        <f t="shared" si="94"/>
        <v>0</v>
      </c>
      <c r="AN61" s="32">
        <f t="shared" si="94"/>
        <v>0</v>
      </c>
      <c r="AO61" s="32">
        <f t="shared" si="94"/>
        <v>0</v>
      </c>
      <c r="AP61" s="32">
        <f t="shared" si="94"/>
        <v>0</v>
      </c>
      <c r="AQ61" s="32">
        <f t="shared" si="94"/>
        <v>0</v>
      </c>
      <c r="AR61" s="32">
        <f t="shared" si="94"/>
        <v>0</v>
      </c>
      <c r="AS61" s="32">
        <f t="shared" si="94"/>
        <v>0</v>
      </c>
      <c r="AT61" s="32">
        <f t="shared" si="94"/>
        <v>0</v>
      </c>
      <c r="AU61" s="32">
        <f t="shared" si="94"/>
        <v>0</v>
      </c>
      <c r="AV61" s="32">
        <f t="shared" si="94"/>
        <v>0</v>
      </c>
      <c r="AW61" s="32">
        <f t="shared" si="94"/>
        <v>0</v>
      </c>
      <c r="AX61" s="32">
        <f t="shared" si="94"/>
        <v>0</v>
      </c>
      <c r="AY61" s="32">
        <f t="shared" si="94"/>
        <v>0</v>
      </c>
      <c r="AZ61" s="32">
        <f t="shared" si="94"/>
        <v>0</v>
      </c>
      <c r="BA61" s="32">
        <f t="shared" si="94"/>
        <v>0</v>
      </c>
      <c r="BB61" s="32">
        <f t="shared" si="94"/>
        <v>0</v>
      </c>
      <c r="BC61" s="32">
        <f t="shared" si="94"/>
        <v>0</v>
      </c>
      <c r="BD61" s="32">
        <f t="shared" si="94"/>
        <v>0</v>
      </c>
      <c r="BE61" s="32">
        <f t="shared" si="94"/>
        <v>0</v>
      </c>
      <c r="BF61" s="32">
        <f t="shared" si="94"/>
        <v>0</v>
      </c>
      <c r="BG61" s="32">
        <f t="shared" si="94"/>
        <v>0</v>
      </c>
      <c r="BH61" s="32">
        <f t="shared" si="94"/>
        <v>0</v>
      </c>
      <c r="BI61" s="32">
        <f t="shared" si="94"/>
        <v>0</v>
      </c>
      <c r="BJ61" s="32">
        <f t="shared" si="94"/>
        <v>0</v>
      </c>
      <c r="BK61" s="32">
        <f t="shared" si="94"/>
        <v>0</v>
      </c>
      <c r="BL61" s="32">
        <f t="shared" si="88"/>
        <v>70897891.83032012</v>
      </c>
    </row>
    <row r="62" spans="1:65" ht="14.5" customHeight="1">
      <c r="A62" s="25" t="str">
        <f t="shared" si="83"/>
        <v xml:space="preserve">Capital Expenditure 6 </v>
      </c>
      <c r="B62" s="32">
        <f>'Project Assumptions'!D30</f>
        <v>10</v>
      </c>
      <c r="C62" s="32">
        <f t="shared" ref="C62:AH62" si="95">IF($B62="Amortize",C44,IF(C$4&gt;=$B28,VLOOKUP($B62,MACRS_TABLE,C$4-$B28+2,FALSE),0)*C28)</f>
        <v>0</v>
      </c>
      <c r="D62" s="32">
        <f t="shared" si="95"/>
        <v>0</v>
      </c>
      <c r="E62" s="32">
        <f t="shared" si="95"/>
        <v>0</v>
      </c>
      <c r="F62" s="32">
        <f t="shared" si="95"/>
        <v>0</v>
      </c>
      <c r="G62" s="32">
        <f t="shared" si="95"/>
        <v>0</v>
      </c>
      <c r="H62" s="32">
        <f t="shared" si="95"/>
        <v>0</v>
      </c>
      <c r="I62" s="32">
        <f t="shared" si="95"/>
        <v>7302482.858522974</v>
      </c>
      <c r="J62" s="32">
        <f t="shared" si="95"/>
        <v>13144469.145341353</v>
      </c>
      <c r="K62" s="32">
        <f t="shared" si="95"/>
        <v>10515575.316273082</v>
      </c>
      <c r="L62" s="32">
        <f t="shared" si="95"/>
        <v>8412460.2530184649</v>
      </c>
      <c r="M62" s="32">
        <f t="shared" si="95"/>
        <v>6729968.2024147725</v>
      </c>
      <c r="N62" s="32">
        <f t="shared" si="95"/>
        <v>5383974.5619318178</v>
      </c>
      <c r="O62" s="32">
        <f t="shared" si="95"/>
        <v>4785755.1661616154</v>
      </c>
      <c r="P62" s="32">
        <f t="shared" si="95"/>
        <v>4785755.1661616154</v>
      </c>
      <c r="Q62" s="32">
        <f t="shared" si="95"/>
        <v>4785755.1661616154</v>
      </c>
      <c r="R62" s="32">
        <f t="shared" si="95"/>
        <v>4785755.1661616154</v>
      </c>
      <c r="S62" s="32">
        <f t="shared" si="95"/>
        <v>2392877.5830808012</v>
      </c>
      <c r="T62" s="32">
        <f t="shared" si="95"/>
        <v>0</v>
      </c>
      <c r="U62" s="32">
        <f t="shared" si="95"/>
        <v>0</v>
      </c>
      <c r="V62" s="32">
        <f t="shared" si="95"/>
        <v>0</v>
      </c>
      <c r="W62" s="32">
        <f t="shared" si="95"/>
        <v>0</v>
      </c>
      <c r="X62" s="32">
        <f t="shared" si="95"/>
        <v>0</v>
      </c>
      <c r="Y62" s="32">
        <f t="shared" si="95"/>
        <v>0</v>
      </c>
      <c r="Z62" s="32">
        <f t="shared" si="95"/>
        <v>0</v>
      </c>
      <c r="AA62" s="32">
        <f t="shared" si="95"/>
        <v>0</v>
      </c>
      <c r="AB62" s="32">
        <f t="shared" si="95"/>
        <v>0</v>
      </c>
      <c r="AC62" s="32">
        <f t="shared" si="95"/>
        <v>0</v>
      </c>
      <c r="AD62" s="32">
        <f t="shared" si="95"/>
        <v>0</v>
      </c>
      <c r="AE62" s="32">
        <f t="shared" si="95"/>
        <v>0</v>
      </c>
      <c r="AF62" s="32">
        <f t="shared" si="95"/>
        <v>0</v>
      </c>
      <c r="AG62" s="32">
        <f t="shared" si="95"/>
        <v>0</v>
      </c>
      <c r="AH62" s="32">
        <f t="shared" si="95"/>
        <v>0</v>
      </c>
      <c r="AI62" s="32">
        <f t="shared" ref="AI62:BK62" si="96">IF($B62="Amortize",AI44,IF(AI$4&gt;=$B28,VLOOKUP($B62,MACRS_TABLE,AI$4-$B28+2,FALSE),0)*AI28)</f>
        <v>0</v>
      </c>
      <c r="AJ62" s="32">
        <f t="shared" si="96"/>
        <v>0</v>
      </c>
      <c r="AK62" s="32">
        <f t="shared" si="96"/>
        <v>0</v>
      </c>
      <c r="AL62" s="32">
        <f t="shared" si="96"/>
        <v>0</v>
      </c>
      <c r="AM62" s="32">
        <f t="shared" si="96"/>
        <v>0</v>
      </c>
      <c r="AN62" s="32">
        <f t="shared" si="96"/>
        <v>0</v>
      </c>
      <c r="AO62" s="32">
        <f t="shared" si="96"/>
        <v>0</v>
      </c>
      <c r="AP62" s="32">
        <f t="shared" si="96"/>
        <v>0</v>
      </c>
      <c r="AQ62" s="32">
        <f t="shared" si="96"/>
        <v>0</v>
      </c>
      <c r="AR62" s="32">
        <f t="shared" si="96"/>
        <v>0</v>
      </c>
      <c r="AS62" s="32">
        <f t="shared" si="96"/>
        <v>0</v>
      </c>
      <c r="AT62" s="32">
        <f t="shared" si="96"/>
        <v>0</v>
      </c>
      <c r="AU62" s="32">
        <f t="shared" si="96"/>
        <v>0</v>
      </c>
      <c r="AV62" s="32">
        <f t="shared" si="96"/>
        <v>0</v>
      </c>
      <c r="AW62" s="32">
        <f t="shared" si="96"/>
        <v>0</v>
      </c>
      <c r="AX62" s="32">
        <f t="shared" si="96"/>
        <v>0</v>
      </c>
      <c r="AY62" s="32">
        <f t="shared" si="96"/>
        <v>0</v>
      </c>
      <c r="AZ62" s="32">
        <f t="shared" si="96"/>
        <v>0</v>
      </c>
      <c r="BA62" s="32">
        <f t="shared" si="96"/>
        <v>0</v>
      </c>
      <c r="BB62" s="32">
        <f t="shared" si="96"/>
        <v>0</v>
      </c>
      <c r="BC62" s="32">
        <f t="shared" si="96"/>
        <v>0</v>
      </c>
      <c r="BD62" s="32">
        <f t="shared" si="96"/>
        <v>0</v>
      </c>
      <c r="BE62" s="32">
        <f t="shared" si="96"/>
        <v>0</v>
      </c>
      <c r="BF62" s="32">
        <f t="shared" si="96"/>
        <v>0</v>
      </c>
      <c r="BG62" s="32">
        <f t="shared" si="96"/>
        <v>0</v>
      </c>
      <c r="BH62" s="32">
        <f t="shared" si="96"/>
        <v>0</v>
      </c>
      <c r="BI62" s="32">
        <f t="shared" si="96"/>
        <v>0</v>
      </c>
      <c r="BJ62" s="32">
        <f t="shared" si="96"/>
        <v>0</v>
      </c>
      <c r="BK62" s="32">
        <f t="shared" si="96"/>
        <v>0</v>
      </c>
      <c r="BL62" s="32">
        <f t="shared" si="88"/>
        <v>73024828.58522971</v>
      </c>
    </row>
    <row r="63" spans="1:65" ht="14.5" customHeight="1">
      <c r="A63" s="25" t="str">
        <f t="shared" si="83"/>
        <v>Capital Expenditure 7</v>
      </c>
      <c r="B63" s="32">
        <f>'Project Assumptions'!D31</f>
        <v>10</v>
      </c>
      <c r="C63" s="32">
        <f t="shared" ref="C63:AH63" si="97">IF($B63="Amortize",C45,IF(C$4&gt;=$B29,VLOOKUP($B63,MACRS_TABLE,C$4-$B29+2,FALSE),0)*C29)</f>
        <v>0</v>
      </c>
      <c r="D63" s="32">
        <f t="shared" si="97"/>
        <v>0</v>
      </c>
      <c r="E63" s="32">
        <f t="shared" si="97"/>
        <v>0</v>
      </c>
      <c r="F63" s="32">
        <f t="shared" si="97"/>
        <v>0</v>
      </c>
      <c r="G63" s="32">
        <f t="shared" si="97"/>
        <v>0</v>
      </c>
      <c r="H63" s="32">
        <f t="shared" si="97"/>
        <v>0</v>
      </c>
      <c r="I63" s="32">
        <f t="shared" si="97"/>
        <v>0</v>
      </c>
      <c r="J63" s="32">
        <f t="shared" si="97"/>
        <v>7521557.3442786634</v>
      </c>
      <c r="K63" s="32">
        <f t="shared" si="97"/>
        <v>13538803.219701594</v>
      </c>
      <c r="L63" s="32">
        <f t="shared" si="97"/>
        <v>10831042.575761275</v>
      </c>
      <c r="M63" s="32">
        <f t="shared" si="97"/>
        <v>8664834.0606090203</v>
      </c>
      <c r="N63" s="32">
        <f t="shared" si="97"/>
        <v>6931867.2484872155</v>
      </c>
      <c r="O63" s="32">
        <f t="shared" si="97"/>
        <v>5545493.7987897722</v>
      </c>
      <c r="P63" s="32">
        <f t="shared" si="97"/>
        <v>4929327.821146464</v>
      </c>
      <c r="Q63" s="32">
        <f t="shared" si="97"/>
        <v>4929327.821146464</v>
      </c>
      <c r="R63" s="32">
        <f t="shared" si="97"/>
        <v>4929327.821146464</v>
      </c>
      <c r="S63" s="32">
        <f t="shared" si="97"/>
        <v>4929327.821146464</v>
      </c>
      <c r="T63" s="32">
        <f t="shared" si="97"/>
        <v>2464663.9105732255</v>
      </c>
      <c r="U63" s="32">
        <f t="shared" si="97"/>
        <v>0</v>
      </c>
      <c r="V63" s="32">
        <f t="shared" si="97"/>
        <v>0</v>
      </c>
      <c r="W63" s="32">
        <f t="shared" si="97"/>
        <v>0</v>
      </c>
      <c r="X63" s="32">
        <f t="shared" si="97"/>
        <v>0</v>
      </c>
      <c r="Y63" s="32">
        <f t="shared" si="97"/>
        <v>0</v>
      </c>
      <c r="Z63" s="32">
        <f t="shared" si="97"/>
        <v>0</v>
      </c>
      <c r="AA63" s="32">
        <f t="shared" si="97"/>
        <v>0</v>
      </c>
      <c r="AB63" s="32">
        <f t="shared" si="97"/>
        <v>0</v>
      </c>
      <c r="AC63" s="32">
        <f t="shared" si="97"/>
        <v>0</v>
      </c>
      <c r="AD63" s="32">
        <f t="shared" si="97"/>
        <v>0</v>
      </c>
      <c r="AE63" s="32">
        <f t="shared" si="97"/>
        <v>0</v>
      </c>
      <c r="AF63" s="32">
        <f t="shared" si="97"/>
        <v>0</v>
      </c>
      <c r="AG63" s="32">
        <f t="shared" si="97"/>
        <v>0</v>
      </c>
      <c r="AH63" s="32">
        <f t="shared" si="97"/>
        <v>0</v>
      </c>
      <c r="AI63" s="32">
        <f t="shared" ref="AI63:BK63" si="98">IF($B63="Amortize",AI45,IF(AI$4&gt;=$B29,VLOOKUP($B63,MACRS_TABLE,AI$4-$B29+2,FALSE),0)*AI29)</f>
        <v>0</v>
      </c>
      <c r="AJ63" s="32">
        <f t="shared" si="98"/>
        <v>0</v>
      </c>
      <c r="AK63" s="32">
        <f t="shared" si="98"/>
        <v>0</v>
      </c>
      <c r="AL63" s="32">
        <f t="shared" si="98"/>
        <v>0</v>
      </c>
      <c r="AM63" s="32">
        <f t="shared" si="98"/>
        <v>0</v>
      </c>
      <c r="AN63" s="32">
        <f t="shared" si="98"/>
        <v>0</v>
      </c>
      <c r="AO63" s="32">
        <f t="shared" si="98"/>
        <v>0</v>
      </c>
      <c r="AP63" s="32">
        <f t="shared" si="98"/>
        <v>0</v>
      </c>
      <c r="AQ63" s="32">
        <f t="shared" si="98"/>
        <v>0</v>
      </c>
      <c r="AR63" s="32">
        <f t="shared" si="98"/>
        <v>0</v>
      </c>
      <c r="AS63" s="32">
        <f t="shared" si="98"/>
        <v>0</v>
      </c>
      <c r="AT63" s="32">
        <f t="shared" si="98"/>
        <v>0</v>
      </c>
      <c r="AU63" s="32">
        <f t="shared" si="98"/>
        <v>0</v>
      </c>
      <c r="AV63" s="32">
        <f t="shared" si="98"/>
        <v>0</v>
      </c>
      <c r="AW63" s="32">
        <f t="shared" si="98"/>
        <v>0</v>
      </c>
      <c r="AX63" s="32">
        <f t="shared" si="98"/>
        <v>0</v>
      </c>
      <c r="AY63" s="32">
        <f t="shared" si="98"/>
        <v>0</v>
      </c>
      <c r="AZ63" s="32">
        <f t="shared" si="98"/>
        <v>0</v>
      </c>
      <c r="BA63" s="32">
        <f t="shared" si="98"/>
        <v>0</v>
      </c>
      <c r="BB63" s="32">
        <f t="shared" si="98"/>
        <v>0</v>
      </c>
      <c r="BC63" s="32">
        <f t="shared" si="98"/>
        <v>0</v>
      </c>
      <c r="BD63" s="32">
        <f t="shared" si="98"/>
        <v>0</v>
      </c>
      <c r="BE63" s="32">
        <f t="shared" si="98"/>
        <v>0</v>
      </c>
      <c r="BF63" s="32">
        <f t="shared" si="98"/>
        <v>0</v>
      </c>
      <c r="BG63" s="32">
        <f t="shared" si="98"/>
        <v>0</v>
      </c>
      <c r="BH63" s="32">
        <f t="shared" si="98"/>
        <v>0</v>
      </c>
      <c r="BI63" s="32">
        <f t="shared" si="98"/>
        <v>0</v>
      </c>
      <c r="BJ63" s="32">
        <f t="shared" si="98"/>
        <v>0</v>
      </c>
      <c r="BK63" s="32">
        <f t="shared" si="98"/>
        <v>0</v>
      </c>
      <c r="BL63" s="32">
        <f t="shared" si="88"/>
        <v>75215573.442786619</v>
      </c>
    </row>
    <row r="64" spans="1:65" ht="14.5" customHeight="1">
      <c r="A64" s="25" t="str">
        <f t="shared" si="83"/>
        <v>Capital Expenditure 8</v>
      </c>
      <c r="B64" s="32">
        <f>'Project Assumptions'!D32</f>
        <v>10</v>
      </c>
      <c r="C64" s="32">
        <f t="shared" ref="C64:AH64" si="99">IF($B64="Amortize",C46,IF(C$4&gt;=$B30,VLOOKUP($B64,MACRS_TABLE,C$4-$B30+2,FALSE),0)*C30)</f>
        <v>0</v>
      </c>
      <c r="D64" s="32">
        <f t="shared" si="99"/>
        <v>0</v>
      </c>
      <c r="E64" s="32">
        <f t="shared" si="99"/>
        <v>0</v>
      </c>
      <c r="F64" s="32">
        <f t="shared" si="99"/>
        <v>0</v>
      </c>
      <c r="G64" s="32">
        <f t="shared" si="99"/>
        <v>0</v>
      </c>
      <c r="H64" s="32">
        <f t="shared" si="99"/>
        <v>0</v>
      </c>
      <c r="I64" s="32">
        <f t="shared" si="99"/>
        <v>0</v>
      </c>
      <c r="J64" s="32">
        <f t="shared" si="99"/>
        <v>0</v>
      </c>
      <c r="K64" s="32">
        <f t="shared" si="99"/>
        <v>6498585.0289360601</v>
      </c>
      <c r="L64" s="32">
        <f t="shared" si="99"/>
        <v>11697453.052084908</v>
      </c>
      <c r="M64" s="32">
        <f t="shared" si="99"/>
        <v>9357962.4416679256</v>
      </c>
      <c r="N64" s="32">
        <f t="shared" si="99"/>
        <v>7486369.9533343408</v>
      </c>
      <c r="O64" s="32">
        <f t="shared" si="99"/>
        <v>5989095.9626674717</v>
      </c>
      <c r="P64" s="32">
        <f t="shared" si="99"/>
        <v>4791276.7701339778</v>
      </c>
      <c r="Q64" s="32">
        <f t="shared" si="99"/>
        <v>4258912.6845635353</v>
      </c>
      <c r="R64" s="32">
        <f t="shared" si="99"/>
        <v>4258912.6845635353</v>
      </c>
      <c r="S64" s="32">
        <f t="shared" si="99"/>
        <v>4258912.6845635353</v>
      </c>
      <c r="T64" s="32">
        <f t="shared" si="99"/>
        <v>4258912.6845635353</v>
      </c>
      <c r="U64" s="32">
        <f t="shared" si="99"/>
        <v>2129456.342281762</v>
      </c>
      <c r="V64" s="32">
        <f t="shared" si="99"/>
        <v>0</v>
      </c>
      <c r="W64" s="32">
        <f t="shared" si="99"/>
        <v>0</v>
      </c>
      <c r="X64" s="32">
        <f t="shared" si="99"/>
        <v>0</v>
      </c>
      <c r="Y64" s="32">
        <f t="shared" si="99"/>
        <v>0</v>
      </c>
      <c r="Z64" s="32">
        <f t="shared" si="99"/>
        <v>0</v>
      </c>
      <c r="AA64" s="32">
        <f t="shared" si="99"/>
        <v>0</v>
      </c>
      <c r="AB64" s="32">
        <f t="shared" si="99"/>
        <v>0</v>
      </c>
      <c r="AC64" s="32">
        <f t="shared" si="99"/>
        <v>0</v>
      </c>
      <c r="AD64" s="32">
        <f t="shared" si="99"/>
        <v>0</v>
      </c>
      <c r="AE64" s="32">
        <f t="shared" si="99"/>
        <v>0</v>
      </c>
      <c r="AF64" s="32">
        <f t="shared" si="99"/>
        <v>0</v>
      </c>
      <c r="AG64" s="32">
        <f t="shared" si="99"/>
        <v>0</v>
      </c>
      <c r="AH64" s="32">
        <f t="shared" si="99"/>
        <v>0</v>
      </c>
      <c r="AI64" s="32">
        <f t="shared" ref="AI64:BK64" si="100">IF($B64="Amortize",AI46,IF(AI$4&gt;=$B30,VLOOKUP($B64,MACRS_TABLE,AI$4-$B30+2,FALSE),0)*AI30)</f>
        <v>0</v>
      </c>
      <c r="AJ64" s="32">
        <f t="shared" si="100"/>
        <v>0</v>
      </c>
      <c r="AK64" s="32">
        <f t="shared" si="100"/>
        <v>0</v>
      </c>
      <c r="AL64" s="32">
        <f t="shared" si="100"/>
        <v>0</v>
      </c>
      <c r="AM64" s="32">
        <f t="shared" si="100"/>
        <v>0</v>
      </c>
      <c r="AN64" s="32">
        <f t="shared" si="100"/>
        <v>0</v>
      </c>
      <c r="AO64" s="32">
        <f t="shared" si="100"/>
        <v>0</v>
      </c>
      <c r="AP64" s="32">
        <f t="shared" si="100"/>
        <v>0</v>
      </c>
      <c r="AQ64" s="32">
        <f t="shared" si="100"/>
        <v>0</v>
      </c>
      <c r="AR64" s="32">
        <f t="shared" si="100"/>
        <v>0</v>
      </c>
      <c r="AS64" s="32">
        <f t="shared" si="100"/>
        <v>0</v>
      </c>
      <c r="AT64" s="32">
        <f t="shared" si="100"/>
        <v>0</v>
      </c>
      <c r="AU64" s="32">
        <f t="shared" si="100"/>
        <v>0</v>
      </c>
      <c r="AV64" s="32">
        <f t="shared" si="100"/>
        <v>0</v>
      </c>
      <c r="AW64" s="32">
        <f t="shared" si="100"/>
        <v>0</v>
      </c>
      <c r="AX64" s="32">
        <f t="shared" si="100"/>
        <v>0</v>
      </c>
      <c r="AY64" s="32">
        <f t="shared" si="100"/>
        <v>0</v>
      </c>
      <c r="AZ64" s="32">
        <f t="shared" si="100"/>
        <v>0</v>
      </c>
      <c r="BA64" s="32">
        <f t="shared" si="100"/>
        <v>0</v>
      </c>
      <c r="BB64" s="32">
        <f t="shared" si="100"/>
        <v>0</v>
      </c>
      <c r="BC64" s="32">
        <f t="shared" si="100"/>
        <v>0</v>
      </c>
      <c r="BD64" s="32">
        <f t="shared" si="100"/>
        <v>0</v>
      </c>
      <c r="BE64" s="32">
        <f t="shared" si="100"/>
        <v>0</v>
      </c>
      <c r="BF64" s="32">
        <f t="shared" si="100"/>
        <v>0</v>
      </c>
      <c r="BG64" s="32">
        <f t="shared" si="100"/>
        <v>0</v>
      </c>
      <c r="BH64" s="32">
        <f t="shared" si="100"/>
        <v>0</v>
      </c>
      <c r="BI64" s="32">
        <f t="shared" si="100"/>
        <v>0</v>
      </c>
      <c r="BJ64" s="32">
        <f t="shared" si="100"/>
        <v>0</v>
      </c>
      <c r="BK64" s="32">
        <f t="shared" si="100"/>
        <v>0</v>
      </c>
      <c r="BL64" s="32">
        <f t="shared" ref="BL64:BL65" si="101">SUM(C64:BK64)</f>
        <v>64985850.289360575</v>
      </c>
    </row>
    <row r="65" spans="1:65" ht="14.5" customHeight="1">
      <c r="A65" s="25" t="str">
        <f t="shared" si="83"/>
        <v>Capital Expenditure 9</v>
      </c>
      <c r="B65" s="32">
        <f>'Project Assumptions'!D33</f>
        <v>10</v>
      </c>
      <c r="C65" s="32">
        <f t="shared" ref="C65:AH65" si="102">IF($B65="Amortize",C47,IF(C$4&gt;=$B31,VLOOKUP($B65,MACRS_TABLE,C$4-$B31+2,FALSE),0)*C31)</f>
        <v>0</v>
      </c>
      <c r="D65" s="32">
        <f t="shared" si="102"/>
        <v>0</v>
      </c>
      <c r="E65" s="32">
        <f t="shared" si="102"/>
        <v>0</v>
      </c>
      <c r="F65" s="32">
        <f t="shared" si="102"/>
        <v>0</v>
      </c>
      <c r="G65" s="32">
        <f t="shared" si="102"/>
        <v>0</v>
      </c>
      <c r="H65" s="32">
        <f t="shared" si="102"/>
        <v>0</v>
      </c>
      <c r="I65" s="32">
        <f t="shared" si="102"/>
        <v>0</v>
      </c>
      <c r="J65" s="32">
        <f t="shared" si="102"/>
        <v>0</v>
      </c>
      <c r="K65" s="32">
        <f t="shared" si="102"/>
        <v>0</v>
      </c>
      <c r="L65" s="32">
        <f t="shared" si="102"/>
        <v>63438.029553869404</v>
      </c>
      <c r="M65" s="32">
        <f t="shared" si="102"/>
        <v>114188.45319696493</v>
      </c>
      <c r="N65" s="32">
        <f t="shared" si="102"/>
        <v>91350.762557571928</v>
      </c>
      <c r="O65" s="32">
        <f t="shared" si="102"/>
        <v>73080.610046057554</v>
      </c>
      <c r="P65" s="32">
        <f t="shared" si="102"/>
        <v>58464.488036846036</v>
      </c>
      <c r="Q65" s="32">
        <f t="shared" si="102"/>
        <v>46771.590429476826</v>
      </c>
      <c r="R65" s="32">
        <f t="shared" si="102"/>
        <v>41574.747048423844</v>
      </c>
      <c r="S65" s="32">
        <f t="shared" si="102"/>
        <v>41574.747048423844</v>
      </c>
      <c r="T65" s="32">
        <f t="shared" si="102"/>
        <v>41574.747048423844</v>
      </c>
      <c r="U65" s="32">
        <f t="shared" si="102"/>
        <v>41574.747048423844</v>
      </c>
      <c r="V65" s="32">
        <f t="shared" si="102"/>
        <v>20787.373524211867</v>
      </c>
      <c r="W65" s="32">
        <f t="shared" si="102"/>
        <v>0</v>
      </c>
      <c r="X65" s="32">
        <f t="shared" si="102"/>
        <v>0</v>
      </c>
      <c r="Y65" s="32">
        <f t="shared" si="102"/>
        <v>0</v>
      </c>
      <c r="Z65" s="32">
        <f t="shared" si="102"/>
        <v>0</v>
      </c>
      <c r="AA65" s="32">
        <f t="shared" si="102"/>
        <v>0</v>
      </c>
      <c r="AB65" s="32">
        <f t="shared" si="102"/>
        <v>0</v>
      </c>
      <c r="AC65" s="32">
        <f t="shared" si="102"/>
        <v>0</v>
      </c>
      <c r="AD65" s="32">
        <f t="shared" si="102"/>
        <v>0</v>
      </c>
      <c r="AE65" s="32">
        <f t="shared" si="102"/>
        <v>0</v>
      </c>
      <c r="AF65" s="32">
        <f t="shared" si="102"/>
        <v>0</v>
      </c>
      <c r="AG65" s="32">
        <f t="shared" si="102"/>
        <v>0</v>
      </c>
      <c r="AH65" s="32">
        <f t="shared" si="102"/>
        <v>0</v>
      </c>
      <c r="AI65" s="32">
        <f t="shared" ref="AI65:BK65" si="103">IF($B65="Amortize",AI47,IF(AI$4&gt;=$B31,VLOOKUP($B65,MACRS_TABLE,AI$4-$B31+2,FALSE),0)*AI31)</f>
        <v>0</v>
      </c>
      <c r="AJ65" s="32">
        <f t="shared" si="103"/>
        <v>0</v>
      </c>
      <c r="AK65" s="32">
        <f t="shared" si="103"/>
        <v>0</v>
      </c>
      <c r="AL65" s="32">
        <f t="shared" si="103"/>
        <v>0</v>
      </c>
      <c r="AM65" s="32">
        <f t="shared" si="103"/>
        <v>0</v>
      </c>
      <c r="AN65" s="32">
        <f t="shared" si="103"/>
        <v>0</v>
      </c>
      <c r="AO65" s="32">
        <f t="shared" si="103"/>
        <v>0</v>
      </c>
      <c r="AP65" s="32">
        <f t="shared" si="103"/>
        <v>0</v>
      </c>
      <c r="AQ65" s="32">
        <f t="shared" si="103"/>
        <v>0</v>
      </c>
      <c r="AR65" s="32">
        <f t="shared" si="103"/>
        <v>0</v>
      </c>
      <c r="AS65" s="32">
        <f t="shared" si="103"/>
        <v>0</v>
      </c>
      <c r="AT65" s="32">
        <f t="shared" si="103"/>
        <v>0</v>
      </c>
      <c r="AU65" s="32">
        <f t="shared" si="103"/>
        <v>0</v>
      </c>
      <c r="AV65" s="32">
        <f t="shared" si="103"/>
        <v>0</v>
      </c>
      <c r="AW65" s="32">
        <f t="shared" si="103"/>
        <v>0</v>
      </c>
      <c r="AX65" s="32">
        <f t="shared" si="103"/>
        <v>0</v>
      </c>
      <c r="AY65" s="32">
        <f t="shared" si="103"/>
        <v>0</v>
      </c>
      <c r="AZ65" s="32">
        <f t="shared" si="103"/>
        <v>0</v>
      </c>
      <c r="BA65" s="32">
        <f t="shared" si="103"/>
        <v>0</v>
      </c>
      <c r="BB65" s="32">
        <f t="shared" si="103"/>
        <v>0</v>
      </c>
      <c r="BC65" s="32">
        <f t="shared" si="103"/>
        <v>0</v>
      </c>
      <c r="BD65" s="32">
        <f t="shared" si="103"/>
        <v>0</v>
      </c>
      <c r="BE65" s="32">
        <f t="shared" si="103"/>
        <v>0</v>
      </c>
      <c r="BF65" s="32">
        <f t="shared" si="103"/>
        <v>0</v>
      </c>
      <c r="BG65" s="32">
        <f t="shared" si="103"/>
        <v>0</v>
      </c>
      <c r="BH65" s="32">
        <f t="shared" si="103"/>
        <v>0</v>
      </c>
      <c r="BI65" s="32">
        <f t="shared" si="103"/>
        <v>0</v>
      </c>
      <c r="BJ65" s="32">
        <f t="shared" si="103"/>
        <v>0</v>
      </c>
      <c r="BK65" s="32">
        <f t="shared" si="103"/>
        <v>0</v>
      </c>
      <c r="BL65" s="32">
        <f t="shared" si="101"/>
        <v>634380.2955386939</v>
      </c>
    </row>
    <row r="66" spans="1:65" ht="14.5" customHeight="1">
      <c r="A66" s="25" t="str">
        <f t="shared" si="83"/>
        <v>Capital Expenditure 10</v>
      </c>
      <c r="B66" s="32">
        <f>'Project Assumptions'!D34</f>
        <v>10</v>
      </c>
      <c r="C66" s="32">
        <f t="shared" ref="C66:AH66" si="104">IF($B66="Amortize",C48,IF(C$4&gt;=$B32,VLOOKUP($B66,MACRS_TABLE,C$4-$B32+2,FALSE),0)*C32)</f>
        <v>0</v>
      </c>
      <c r="D66" s="32">
        <f t="shared" si="104"/>
        <v>0</v>
      </c>
      <c r="E66" s="32">
        <f t="shared" si="104"/>
        <v>0</v>
      </c>
      <c r="F66" s="32">
        <f t="shared" si="104"/>
        <v>0</v>
      </c>
      <c r="G66" s="32">
        <f t="shared" si="104"/>
        <v>0</v>
      </c>
      <c r="H66" s="32">
        <f t="shared" si="104"/>
        <v>0</v>
      </c>
      <c r="I66" s="32">
        <f t="shared" si="104"/>
        <v>0</v>
      </c>
      <c r="J66" s="32">
        <f t="shared" si="104"/>
        <v>0</v>
      </c>
      <c r="K66" s="32">
        <f t="shared" si="104"/>
        <v>0</v>
      </c>
      <c r="L66" s="32">
        <f t="shared" si="104"/>
        <v>0</v>
      </c>
      <c r="M66" s="32">
        <f t="shared" si="104"/>
        <v>54151.879397447992</v>
      </c>
      <c r="N66" s="32">
        <f t="shared" si="104"/>
        <v>97473.382915406371</v>
      </c>
      <c r="O66" s="32">
        <f t="shared" si="104"/>
        <v>77978.706332325106</v>
      </c>
      <c r="P66" s="32">
        <f t="shared" si="104"/>
        <v>62382.96506586008</v>
      </c>
      <c r="Q66" s="32">
        <f t="shared" si="104"/>
        <v>49906.372052688064</v>
      </c>
      <c r="R66" s="32">
        <f t="shared" si="104"/>
        <v>39925.097642150446</v>
      </c>
      <c r="S66" s="32">
        <f t="shared" si="104"/>
        <v>35488.975681911506</v>
      </c>
      <c r="T66" s="32">
        <f t="shared" si="104"/>
        <v>35488.975681911506</v>
      </c>
      <c r="U66" s="32">
        <f t="shared" si="104"/>
        <v>35488.975681911506</v>
      </c>
      <c r="V66" s="32">
        <f t="shared" si="104"/>
        <v>35488.975681911506</v>
      </c>
      <c r="W66" s="32">
        <f t="shared" si="104"/>
        <v>17744.487840955706</v>
      </c>
      <c r="X66" s="32">
        <f t="shared" si="104"/>
        <v>0</v>
      </c>
      <c r="Y66" s="32">
        <f t="shared" si="104"/>
        <v>0</v>
      </c>
      <c r="Z66" s="32">
        <f t="shared" si="104"/>
        <v>0</v>
      </c>
      <c r="AA66" s="32">
        <f t="shared" si="104"/>
        <v>0</v>
      </c>
      <c r="AB66" s="32">
        <f t="shared" si="104"/>
        <v>0</v>
      </c>
      <c r="AC66" s="32">
        <f t="shared" si="104"/>
        <v>0</v>
      </c>
      <c r="AD66" s="32">
        <f t="shared" si="104"/>
        <v>0</v>
      </c>
      <c r="AE66" s="32">
        <f t="shared" si="104"/>
        <v>0</v>
      </c>
      <c r="AF66" s="32">
        <f t="shared" si="104"/>
        <v>0</v>
      </c>
      <c r="AG66" s="32">
        <f t="shared" si="104"/>
        <v>0</v>
      </c>
      <c r="AH66" s="32">
        <f t="shared" si="104"/>
        <v>0</v>
      </c>
      <c r="AI66" s="32">
        <f t="shared" ref="AI66:BK66" si="105">IF($B66="Amortize",AI48,IF(AI$4&gt;=$B32,VLOOKUP($B66,MACRS_TABLE,AI$4-$B32+2,FALSE),0)*AI32)</f>
        <v>0</v>
      </c>
      <c r="AJ66" s="32">
        <f t="shared" si="105"/>
        <v>0</v>
      </c>
      <c r="AK66" s="32">
        <f t="shared" si="105"/>
        <v>0</v>
      </c>
      <c r="AL66" s="32">
        <f t="shared" si="105"/>
        <v>0</v>
      </c>
      <c r="AM66" s="32">
        <f t="shared" si="105"/>
        <v>0</v>
      </c>
      <c r="AN66" s="32">
        <f t="shared" si="105"/>
        <v>0</v>
      </c>
      <c r="AO66" s="32">
        <f t="shared" si="105"/>
        <v>0</v>
      </c>
      <c r="AP66" s="32">
        <f t="shared" si="105"/>
        <v>0</v>
      </c>
      <c r="AQ66" s="32">
        <f t="shared" si="105"/>
        <v>0</v>
      </c>
      <c r="AR66" s="32">
        <f t="shared" si="105"/>
        <v>0</v>
      </c>
      <c r="AS66" s="32">
        <f t="shared" si="105"/>
        <v>0</v>
      </c>
      <c r="AT66" s="32">
        <f t="shared" si="105"/>
        <v>0</v>
      </c>
      <c r="AU66" s="32">
        <f t="shared" si="105"/>
        <v>0</v>
      </c>
      <c r="AV66" s="32">
        <f t="shared" si="105"/>
        <v>0</v>
      </c>
      <c r="AW66" s="32">
        <f t="shared" si="105"/>
        <v>0</v>
      </c>
      <c r="AX66" s="32">
        <f t="shared" si="105"/>
        <v>0</v>
      </c>
      <c r="AY66" s="32">
        <f t="shared" si="105"/>
        <v>0</v>
      </c>
      <c r="AZ66" s="32">
        <f t="shared" si="105"/>
        <v>0</v>
      </c>
      <c r="BA66" s="32">
        <f t="shared" si="105"/>
        <v>0</v>
      </c>
      <c r="BB66" s="32">
        <f t="shared" si="105"/>
        <v>0</v>
      </c>
      <c r="BC66" s="32">
        <f t="shared" si="105"/>
        <v>0</v>
      </c>
      <c r="BD66" s="32">
        <f t="shared" si="105"/>
        <v>0</v>
      </c>
      <c r="BE66" s="32">
        <f t="shared" si="105"/>
        <v>0</v>
      </c>
      <c r="BF66" s="32">
        <f t="shared" si="105"/>
        <v>0</v>
      </c>
      <c r="BG66" s="32">
        <f t="shared" si="105"/>
        <v>0</v>
      </c>
      <c r="BH66" s="32">
        <f t="shared" si="105"/>
        <v>0</v>
      </c>
      <c r="BI66" s="32">
        <f t="shared" si="105"/>
        <v>0</v>
      </c>
      <c r="BJ66" s="32">
        <f t="shared" si="105"/>
        <v>0</v>
      </c>
      <c r="BK66" s="32">
        <f t="shared" si="105"/>
        <v>0</v>
      </c>
      <c r="BL66" s="32">
        <f t="shared" si="88"/>
        <v>541518.79397447989</v>
      </c>
    </row>
    <row r="67" spans="1:65" ht="14.5" customHeight="1">
      <c r="A67" s="25" t="str">
        <f t="shared" ref="A67:A68" si="106">A49</f>
        <v>Capital Expenditure 11</v>
      </c>
      <c r="B67" s="32">
        <f>'Project Assumptions'!D35</f>
        <v>10</v>
      </c>
      <c r="C67" s="32">
        <f t="shared" ref="C67:AH68" si="107">IF($B67="Amortize",C49,IF(C$4&gt;=$B33,VLOOKUP($B67,MACRS_TABLE,C$4-$B33+2,FALSE),0)*C33)</f>
        <v>0</v>
      </c>
      <c r="D67" s="32">
        <f t="shared" si="107"/>
        <v>0</v>
      </c>
      <c r="E67" s="32">
        <f t="shared" si="107"/>
        <v>0</v>
      </c>
      <c r="F67" s="32">
        <f t="shared" si="107"/>
        <v>0</v>
      </c>
      <c r="G67" s="32">
        <f t="shared" si="107"/>
        <v>0</v>
      </c>
      <c r="H67" s="32">
        <f t="shared" si="107"/>
        <v>0</v>
      </c>
      <c r="I67" s="32">
        <f t="shared" si="107"/>
        <v>0</v>
      </c>
      <c r="J67" s="32">
        <f t="shared" si="107"/>
        <v>0</v>
      </c>
      <c r="K67" s="32">
        <f t="shared" si="107"/>
        <v>0</v>
      </c>
      <c r="L67" s="32">
        <f t="shared" si="107"/>
        <v>0</v>
      </c>
      <c r="M67" s="32">
        <f t="shared" si="107"/>
        <v>0</v>
      </c>
      <c r="N67" s="32">
        <f t="shared" si="107"/>
        <v>54728.711254432477</v>
      </c>
      <c r="O67" s="32">
        <f t="shared" si="107"/>
        <v>98511.680257978442</v>
      </c>
      <c r="P67" s="32">
        <f t="shared" si="107"/>
        <v>78809.344206382753</v>
      </c>
      <c r="Q67" s="32">
        <f t="shared" si="107"/>
        <v>63047.475365106206</v>
      </c>
      <c r="R67" s="32">
        <f t="shared" si="107"/>
        <v>50437.980292084962</v>
      </c>
      <c r="S67" s="32">
        <f t="shared" si="107"/>
        <v>40350.384233667966</v>
      </c>
      <c r="T67" s="32">
        <f t="shared" si="107"/>
        <v>35867.008207704857</v>
      </c>
      <c r="U67" s="32">
        <f t="shared" si="107"/>
        <v>35867.008207704857</v>
      </c>
      <c r="V67" s="32">
        <f t="shared" si="107"/>
        <v>35867.008207704857</v>
      </c>
      <c r="W67" s="32">
        <f t="shared" si="107"/>
        <v>35867.008207704857</v>
      </c>
      <c r="X67" s="32">
        <f t="shared" si="107"/>
        <v>17933.504103852381</v>
      </c>
      <c r="Y67" s="32">
        <f t="shared" si="107"/>
        <v>0</v>
      </c>
      <c r="Z67" s="32">
        <f t="shared" si="107"/>
        <v>0</v>
      </c>
      <c r="AA67" s="32">
        <f t="shared" si="107"/>
        <v>0</v>
      </c>
      <c r="AB67" s="32">
        <f t="shared" si="107"/>
        <v>0</v>
      </c>
      <c r="AC67" s="32">
        <f t="shared" si="107"/>
        <v>0</v>
      </c>
      <c r="AD67" s="32">
        <f t="shared" si="107"/>
        <v>0</v>
      </c>
      <c r="AE67" s="32">
        <f t="shared" si="107"/>
        <v>0</v>
      </c>
      <c r="AF67" s="32">
        <f t="shared" si="107"/>
        <v>0</v>
      </c>
      <c r="AG67" s="32">
        <f t="shared" si="107"/>
        <v>0</v>
      </c>
      <c r="AH67" s="32">
        <f t="shared" si="107"/>
        <v>0</v>
      </c>
      <c r="AI67" s="32">
        <f t="shared" ref="AI67:BK68" si="108">IF($B67="Amortize",AI49,IF(AI$4&gt;=$B33,VLOOKUP($B67,MACRS_TABLE,AI$4-$B33+2,FALSE),0)*AI33)</f>
        <v>0</v>
      </c>
      <c r="AJ67" s="32">
        <f t="shared" si="108"/>
        <v>0</v>
      </c>
      <c r="AK67" s="32">
        <f t="shared" si="108"/>
        <v>0</v>
      </c>
      <c r="AL67" s="32">
        <f t="shared" si="108"/>
        <v>0</v>
      </c>
      <c r="AM67" s="32">
        <f t="shared" si="108"/>
        <v>0</v>
      </c>
      <c r="AN67" s="32">
        <f t="shared" si="108"/>
        <v>0</v>
      </c>
      <c r="AO67" s="32">
        <f t="shared" si="108"/>
        <v>0</v>
      </c>
      <c r="AP67" s="32">
        <f t="shared" si="108"/>
        <v>0</v>
      </c>
      <c r="AQ67" s="32">
        <f t="shared" si="108"/>
        <v>0</v>
      </c>
      <c r="AR67" s="32">
        <f t="shared" si="108"/>
        <v>0</v>
      </c>
      <c r="AS67" s="32">
        <f t="shared" si="108"/>
        <v>0</v>
      </c>
      <c r="AT67" s="32">
        <f t="shared" si="108"/>
        <v>0</v>
      </c>
      <c r="AU67" s="32">
        <f t="shared" si="108"/>
        <v>0</v>
      </c>
      <c r="AV67" s="32">
        <f t="shared" si="108"/>
        <v>0</v>
      </c>
      <c r="AW67" s="32">
        <f t="shared" si="108"/>
        <v>0</v>
      </c>
      <c r="AX67" s="32">
        <f t="shared" si="108"/>
        <v>0</v>
      </c>
      <c r="AY67" s="32">
        <f t="shared" si="108"/>
        <v>0</v>
      </c>
      <c r="AZ67" s="32">
        <f t="shared" si="108"/>
        <v>0</v>
      </c>
      <c r="BA67" s="32">
        <f t="shared" si="108"/>
        <v>0</v>
      </c>
      <c r="BB67" s="32">
        <f t="shared" si="108"/>
        <v>0</v>
      </c>
      <c r="BC67" s="32">
        <f t="shared" si="108"/>
        <v>0</v>
      </c>
      <c r="BD67" s="32">
        <f t="shared" si="108"/>
        <v>0</v>
      </c>
      <c r="BE67" s="32">
        <f t="shared" si="108"/>
        <v>0</v>
      </c>
      <c r="BF67" s="32">
        <f t="shared" si="108"/>
        <v>0</v>
      </c>
      <c r="BG67" s="32">
        <f t="shared" si="108"/>
        <v>0</v>
      </c>
      <c r="BH67" s="32">
        <f t="shared" si="108"/>
        <v>0</v>
      </c>
      <c r="BI67" s="32">
        <f t="shared" si="108"/>
        <v>0</v>
      </c>
      <c r="BJ67" s="32">
        <f t="shared" si="108"/>
        <v>0</v>
      </c>
      <c r="BK67" s="32">
        <f t="shared" si="108"/>
        <v>0</v>
      </c>
      <c r="BL67" s="32">
        <f t="shared" ref="BL67" si="109">SUM(C67:BK67)</f>
        <v>547287.11254432471</v>
      </c>
    </row>
    <row r="68" spans="1:65" ht="14.5" customHeight="1">
      <c r="A68" s="25" t="str">
        <f t="shared" si="106"/>
        <v>Capital Expenditure 12</v>
      </c>
      <c r="B68" s="32">
        <f>'Project Assumptions'!D36</f>
        <v>10</v>
      </c>
      <c r="C68" s="32">
        <f t="shared" si="107"/>
        <v>0</v>
      </c>
      <c r="D68" s="32">
        <f t="shared" si="107"/>
        <v>0</v>
      </c>
      <c r="E68" s="32">
        <f t="shared" si="107"/>
        <v>0</v>
      </c>
      <c r="F68" s="32">
        <f t="shared" si="107"/>
        <v>0</v>
      </c>
      <c r="G68" s="32">
        <f t="shared" si="107"/>
        <v>0</v>
      </c>
      <c r="H68" s="32">
        <f t="shared" si="107"/>
        <v>0</v>
      </c>
      <c r="I68" s="32">
        <f t="shared" si="107"/>
        <v>0</v>
      </c>
      <c r="J68" s="32">
        <f t="shared" si="107"/>
        <v>0</v>
      </c>
      <c r="K68" s="32">
        <f t="shared" si="107"/>
        <v>0</v>
      </c>
      <c r="L68" s="32">
        <f t="shared" si="107"/>
        <v>0</v>
      </c>
      <c r="M68" s="32">
        <f t="shared" si="107"/>
        <v>0</v>
      </c>
      <c r="N68" s="32">
        <f t="shared" si="107"/>
        <v>0</v>
      </c>
      <c r="O68" s="32">
        <f t="shared" si="107"/>
        <v>56370.572592065429</v>
      </c>
      <c r="P68" s="32">
        <f t="shared" si="107"/>
        <v>101467.03066571776</v>
      </c>
      <c r="Q68" s="32">
        <f t="shared" si="107"/>
        <v>81173.624532574206</v>
      </c>
      <c r="R68" s="32">
        <f t="shared" si="107"/>
        <v>64938.89962605937</v>
      </c>
      <c r="S68" s="32">
        <f t="shared" si="107"/>
        <v>51951.119700847492</v>
      </c>
      <c r="T68" s="32">
        <f t="shared" si="107"/>
        <v>41560.895760677988</v>
      </c>
      <c r="U68" s="32">
        <f t="shared" si="107"/>
        <v>36943.018453935991</v>
      </c>
      <c r="V68" s="32">
        <f t="shared" si="107"/>
        <v>36943.018453935991</v>
      </c>
      <c r="W68" s="32">
        <f t="shared" si="107"/>
        <v>36943.018453935991</v>
      </c>
      <c r="X68" s="32">
        <f t="shared" si="107"/>
        <v>36943.018453935991</v>
      </c>
      <c r="Y68" s="32">
        <f t="shared" si="107"/>
        <v>18471.509226967948</v>
      </c>
      <c r="Z68" s="32">
        <f t="shared" si="107"/>
        <v>0</v>
      </c>
      <c r="AA68" s="32">
        <f t="shared" si="107"/>
        <v>0</v>
      </c>
      <c r="AB68" s="32">
        <f t="shared" si="107"/>
        <v>0</v>
      </c>
      <c r="AC68" s="32">
        <f t="shared" si="107"/>
        <v>0</v>
      </c>
      <c r="AD68" s="32">
        <f t="shared" si="107"/>
        <v>0</v>
      </c>
      <c r="AE68" s="32">
        <f t="shared" si="107"/>
        <v>0</v>
      </c>
      <c r="AF68" s="32">
        <f t="shared" si="107"/>
        <v>0</v>
      </c>
      <c r="AG68" s="32">
        <f t="shared" si="107"/>
        <v>0</v>
      </c>
      <c r="AH68" s="32">
        <f t="shared" si="107"/>
        <v>0</v>
      </c>
      <c r="AI68" s="32">
        <f t="shared" si="108"/>
        <v>0</v>
      </c>
      <c r="AJ68" s="32">
        <f t="shared" si="108"/>
        <v>0</v>
      </c>
      <c r="AK68" s="32">
        <f t="shared" si="108"/>
        <v>0</v>
      </c>
      <c r="AL68" s="32">
        <f t="shared" si="108"/>
        <v>0</v>
      </c>
      <c r="AM68" s="32">
        <f t="shared" si="108"/>
        <v>0</v>
      </c>
      <c r="AN68" s="32">
        <f t="shared" si="108"/>
        <v>0</v>
      </c>
      <c r="AO68" s="32">
        <f t="shared" si="108"/>
        <v>0</v>
      </c>
      <c r="AP68" s="32">
        <f t="shared" si="108"/>
        <v>0</v>
      </c>
      <c r="AQ68" s="32">
        <f t="shared" si="108"/>
        <v>0</v>
      </c>
      <c r="AR68" s="32">
        <f t="shared" si="108"/>
        <v>0</v>
      </c>
      <c r="AS68" s="32">
        <f t="shared" si="108"/>
        <v>0</v>
      </c>
      <c r="AT68" s="32">
        <f t="shared" si="108"/>
        <v>0</v>
      </c>
      <c r="AU68" s="32">
        <f t="shared" si="108"/>
        <v>0</v>
      </c>
      <c r="AV68" s="32">
        <f t="shared" si="108"/>
        <v>0</v>
      </c>
      <c r="AW68" s="32">
        <f t="shared" si="108"/>
        <v>0</v>
      </c>
      <c r="AX68" s="32">
        <f t="shared" si="108"/>
        <v>0</v>
      </c>
      <c r="AY68" s="32">
        <f t="shared" si="108"/>
        <v>0</v>
      </c>
      <c r="AZ68" s="32">
        <f t="shared" si="108"/>
        <v>0</v>
      </c>
      <c r="BA68" s="32">
        <f t="shared" si="108"/>
        <v>0</v>
      </c>
      <c r="BB68" s="32">
        <f t="shared" si="108"/>
        <v>0</v>
      </c>
      <c r="BC68" s="32">
        <f t="shared" si="108"/>
        <v>0</v>
      </c>
      <c r="BD68" s="32">
        <f t="shared" si="108"/>
        <v>0</v>
      </c>
      <c r="BE68" s="32">
        <f t="shared" si="108"/>
        <v>0</v>
      </c>
      <c r="BF68" s="32">
        <f t="shared" si="108"/>
        <v>0</v>
      </c>
      <c r="BG68" s="32">
        <f t="shared" si="108"/>
        <v>0</v>
      </c>
      <c r="BH68" s="32">
        <f t="shared" si="108"/>
        <v>0</v>
      </c>
      <c r="BI68" s="32">
        <f t="shared" si="108"/>
        <v>0</v>
      </c>
      <c r="BJ68" s="32">
        <f t="shared" si="108"/>
        <v>0</v>
      </c>
      <c r="BK68" s="32">
        <f t="shared" si="108"/>
        <v>0</v>
      </c>
      <c r="BL68" s="32">
        <f t="shared" si="88"/>
        <v>563705.72592065413</v>
      </c>
    </row>
    <row r="69" spans="1:65" s="42" customFormat="1" ht="14.5" customHeight="1">
      <c r="A69" s="27" t="s">
        <v>158</v>
      </c>
      <c r="B69" s="27"/>
      <c r="C69" s="79">
        <f>SUM(C57:C68)</f>
        <v>0</v>
      </c>
      <c r="D69" s="79">
        <f>SUM(D57:D68)</f>
        <v>2133180.8445791448</v>
      </c>
      <c r="E69" s="79">
        <f t="shared" ref="E69:AP69" si="110">SUM(E57:E68)</f>
        <v>7325235.6102624685</v>
      </c>
      <c r="F69" s="79">
        <f t="shared" si="110"/>
        <v>17612103.808250245</v>
      </c>
      <c r="G69" s="79">
        <f t="shared" si="110"/>
        <v>29206022.322358806</v>
      </c>
      <c r="H69" s="79">
        <f t="shared" si="110"/>
        <v>37304541.086657405</v>
      </c>
      <c r="I69" s="79">
        <f t="shared" si="110"/>
        <v>44235904.910880908</v>
      </c>
      <c r="J69" s="79">
        <f t="shared" si="110"/>
        <v>50352564.271336704</v>
      </c>
      <c r="K69" s="79">
        <f t="shared" si="110"/>
        <v>54810220.459204316</v>
      </c>
      <c r="L69" s="79">
        <f t="shared" si="110"/>
        <v>51688399.617187761</v>
      </c>
      <c r="M69" s="79">
        <f t="shared" si="110"/>
        <v>43737174.204812035</v>
      </c>
      <c r="N69" s="79">
        <f t="shared" si="110"/>
        <v>37582037.558981016</v>
      </c>
      <c r="O69" s="79">
        <f t="shared" si="110"/>
        <v>32321426.789898064</v>
      </c>
      <c r="P69" s="79">
        <f t="shared" si="110"/>
        <v>26651756.266396835</v>
      </c>
      <c r="Q69" s="79">
        <f t="shared" si="110"/>
        <v>21105845.361350853</v>
      </c>
      <c r="R69" s="79">
        <f t="shared" si="110"/>
        <v>16494054.515976258</v>
      </c>
      <c r="S69" s="79">
        <f t="shared" si="110"/>
        <v>11750483.315455653</v>
      </c>
      <c r="T69" s="79">
        <f t="shared" si="110"/>
        <v>6878068.2218354782</v>
      </c>
      <c r="U69" s="79">
        <f t="shared" si="110"/>
        <v>2279330.0916737383</v>
      </c>
      <c r="V69" s="79">
        <f t="shared" si="110"/>
        <v>129086.37586776422</v>
      </c>
      <c r="W69" s="79">
        <f t="shared" si="110"/>
        <v>90554.514502596547</v>
      </c>
      <c r="X69" s="79">
        <f t="shared" si="110"/>
        <v>54876.522557788368</v>
      </c>
      <c r="Y69" s="79">
        <f t="shared" si="110"/>
        <v>18471.509226967948</v>
      </c>
      <c r="Z69" s="79">
        <f t="shared" si="110"/>
        <v>0</v>
      </c>
      <c r="AA69" s="79">
        <f t="shared" si="110"/>
        <v>0</v>
      </c>
      <c r="AB69" s="79">
        <f t="shared" si="110"/>
        <v>0</v>
      </c>
      <c r="AC69" s="79">
        <f t="shared" si="110"/>
        <v>0</v>
      </c>
      <c r="AD69" s="79">
        <f t="shared" si="110"/>
        <v>0</v>
      </c>
      <c r="AE69" s="79">
        <f t="shared" si="110"/>
        <v>0</v>
      </c>
      <c r="AF69" s="79">
        <f t="shared" si="110"/>
        <v>0</v>
      </c>
      <c r="AG69" s="79">
        <f t="shared" si="110"/>
        <v>0</v>
      </c>
      <c r="AH69" s="79">
        <f t="shared" si="110"/>
        <v>0</v>
      </c>
      <c r="AI69" s="79">
        <f t="shared" si="110"/>
        <v>0</v>
      </c>
      <c r="AJ69" s="79">
        <f t="shared" si="110"/>
        <v>0</v>
      </c>
      <c r="AK69" s="79">
        <f t="shared" si="110"/>
        <v>0</v>
      </c>
      <c r="AL69" s="79">
        <f t="shared" si="110"/>
        <v>0</v>
      </c>
      <c r="AM69" s="79">
        <f t="shared" si="110"/>
        <v>0</v>
      </c>
      <c r="AN69" s="79">
        <f t="shared" si="110"/>
        <v>0</v>
      </c>
      <c r="AO69" s="79">
        <f t="shared" si="110"/>
        <v>0</v>
      </c>
      <c r="AP69" s="79">
        <f t="shared" si="110"/>
        <v>0</v>
      </c>
      <c r="AQ69" s="79">
        <f t="shared" ref="AQ69:AX69" si="111">SUM(AQ57:AQ68)</f>
        <v>0</v>
      </c>
      <c r="AR69" s="79">
        <f t="shared" si="111"/>
        <v>0</v>
      </c>
      <c r="AS69" s="79">
        <f t="shared" si="111"/>
        <v>0</v>
      </c>
      <c r="AT69" s="79">
        <f t="shared" si="111"/>
        <v>0</v>
      </c>
      <c r="AU69" s="79">
        <f t="shared" si="111"/>
        <v>0</v>
      </c>
      <c r="AV69" s="79">
        <f t="shared" si="111"/>
        <v>0</v>
      </c>
      <c r="AW69" s="79">
        <f t="shared" si="111"/>
        <v>0</v>
      </c>
      <c r="AX69" s="79">
        <f t="shared" si="111"/>
        <v>0</v>
      </c>
      <c r="AY69" s="79">
        <f t="shared" ref="AY69:BB69" si="112">SUM(AY57:AY68)</f>
        <v>0</v>
      </c>
      <c r="AZ69" s="79">
        <f t="shared" si="112"/>
        <v>0</v>
      </c>
      <c r="BA69" s="79">
        <f t="shared" si="112"/>
        <v>0</v>
      </c>
      <c r="BB69" s="79">
        <f t="shared" si="112"/>
        <v>0</v>
      </c>
      <c r="BC69" s="79">
        <f t="shared" ref="BC69:BK69" si="113">SUM(BC57:BC68)</f>
        <v>0</v>
      </c>
      <c r="BD69" s="79">
        <f t="shared" si="113"/>
        <v>0</v>
      </c>
      <c r="BE69" s="79">
        <f t="shared" si="113"/>
        <v>0</v>
      </c>
      <c r="BF69" s="79">
        <f t="shared" si="113"/>
        <v>0</v>
      </c>
      <c r="BG69" s="79">
        <f t="shared" si="113"/>
        <v>0</v>
      </c>
      <c r="BH69" s="79">
        <f t="shared" si="113"/>
        <v>0</v>
      </c>
      <c r="BI69" s="79">
        <f t="shared" si="113"/>
        <v>0</v>
      </c>
      <c r="BJ69" s="79">
        <f t="shared" si="113"/>
        <v>0</v>
      </c>
      <c r="BK69" s="79">
        <f t="shared" si="113"/>
        <v>0</v>
      </c>
      <c r="BL69" s="79">
        <f>SUM(BL57:BL68)</f>
        <v>493761338.1792528</v>
      </c>
      <c r="BM69" s="257"/>
    </row>
    <row r="70" spans="1:65" ht="14.5" customHeight="1"/>
    <row r="71" spans="1:65" ht="14.5" customHeight="1"/>
    <row r="72" spans="1:65" s="42" customFormat="1" ht="14.5" customHeight="1">
      <c r="A72" s="27" t="s">
        <v>44</v>
      </c>
      <c r="C72" s="230">
        <f>C69</f>
        <v>0</v>
      </c>
      <c r="D72" s="230">
        <f>SUM($C$69:D69)</f>
        <v>2133180.8445791448</v>
      </c>
      <c r="E72" s="230">
        <f>SUM($C$69:E69)</f>
        <v>9458416.4548416138</v>
      </c>
      <c r="F72" s="230">
        <f>SUM($C$69:F69)</f>
        <v>27070520.263091858</v>
      </c>
      <c r="G72" s="230">
        <f>SUM($C$69:G69)</f>
        <v>56276542.585450664</v>
      </c>
      <c r="H72" s="230">
        <f>SUM($C$69:H69)</f>
        <v>93581083.672108069</v>
      </c>
      <c r="I72" s="230">
        <f>SUM($C$69:I69)</f>
        <v>137816988.58298898</v>
      </c>
      <c r="J72" s="230">
        <f>SUM($C$69:J69)</f>
        <v>188169552.85432568</v>
      </c>
      <c r="K72" s="230">
        <f>SUM($C$69:K69)</f>
        <v>242979773.31353</v>
      </c>
      <c r="L72" s="230">
        <f>SUM($C$69:L69)</f>
        <v>294668172.93071777</v>
      </c>
      <c r="M72" s="230">
        <f>SUM($C$69:M69)</f>
        <v>338405347.13552982</v>
      </c>
      <c r="N72" s="230">
        <f>SUM($C$69:N69)</f>
        <v>375987384.69451082</v>
      </c>
      <c r="O72" s="230">
        <f>SUM($C$69:O69)</f>
        <v>408308811.48440886</v>
      </c>
      <c r="P72" s="230">
        <f>SUM($C$69:P69)</f>
        <v>434960567.75080568</v>
      </c>
      <c r="Q72" s="230">
        <f>SUM($C$69:Q69)</f>
        <v>456066413.11215651</v>
      </c>
      <c r="R72" s="230">
        <f>SUM($C$69:R69)</f>
        <v>472560467.62813276</v>
      </c>
      <c r="S72" s="230">
        <f>SUM($C$69:S69)</f>
        <v>484310950.94358844</v>
      </c>
      <c r="T72" s="230">
        <f>SUM($C$69:T69)</f>
        <v>491189019.16542393</v>
      </c>
      <c r="U72" s="230">
        <f>SUM($C$69:U69)</f>
        <v>493468349.25709766</v>
      </c>
      <c r="V72" s="230">
        <f>SUM($C$69:V69)</f>
        <v>493597435.63296545</v>
      </c>
      <c r="W72" s="230">
        <f>SUM($C$69:W69)</f>
        <v>493687990.14746803</v>
      </c>
      <c r="X72" s="230">
        <f>SUM($C$69:X69)</f>
        <v>493742866.67002583</v>
      </c>
      <c r="Y72" s="230">
        <f>SUM($C$69:Y69)</f>
        <v>493761338.1792528</v>
      </c>
      <c r="Z72" s="230">
        <f>SUM($C$69:Z69)</f>
        <v>493761338.1792528</v>
      </c>
      <c r="AA72" s="230">
        <f>SUM($C$69:AA69)</f>
        <v>493761338.1792528</v>
      </c>
      <c r="AB72" s="230">
        <f>SUM($C$69:AB69)</f>
        <v>493761338.1792528</v>
      </c>
      <c r="AC72" s="230">
        <f>SUM($C$69:AC69)</f>
        <v>493761338.1792528</v>
      </c>
      <c r="AD72" s="230">
        <f>SUM($C$69:AD69)</f>
        <v>493761338.1792528</v>
      </c>
      <c r="AE72" s="230">
        <f>SUM($C$69:AE69)</f>
        <v>493761338.1792528</v>
      </c>
      <c r="AF72" s="230">
        <f>SUM($C$69:AF69)</f>
        <v>493761338.1792528</v>
      </c>
      <c r="AG72" s="230">
        <f>SUM($C$69:AG69)</f>
        <v>493761338.1792528</v>
      </c>
      <c r="AH72" s="230">
        <f>SUM($C$69:AH69)</f>
        <v>493761338.1792528</v>
      </c>
      <c r="AI72" s="230">
        <f>SUM($C$69:AI69)</f>
        <v>493761338.1792528</v>
      </c>
      <c r="AJ72" s="230">
        <f>SUM($C$69:AJ69)</f>
        <v>493761338.1792528</v>
      </c>
      <c r="AK72" s="230">
        <f>SUM($C$69:AK69)</f>
        <v>493761338.1792528</v>
      </c>
      <c r="AL72" s="230">
        <f>SUM($C$69:AL69)</f>
        <v>493761338.1792528</v>
      </c>
      <c r="AM72" s="230">
        <f>SUM($C$69:AM69)</f>
        <v>493761338.1792528</v>
      </c>
      <c r="AN72" s="230">
        <f>SUM($C$69:AN69)</f>
        <v>493761338.1792528</v>
      </c>
      <c r="AO72" s="230">
        <f>SUM($C$69:AO69)</f>
        <v>493761338.1792528</v>
      </c>
      <c r="AP72" s="230">
        <f>SUM($C$69:AP69)</f>
        <v>493761338.1792528</v>
      </c>
      <c r="AQ72" s="230">
        <f>SUM($C$69:AQ69)</f>
        <v>493761338.1792528</v>
      </c>
      <c r="AR72" s="230">
        <f>SUM($C$69:AR69)</f>
        <v>493761338.1792528</v>
      </c>
      <c r="AS72" s="230">
        <f>SUM($C$69:AS69)</f>
        <v>493761338.1792528</v>
      </c>
      <c r="AT72" s="230">
        <f>SUM($C$69:AT69)</f>
        <v>493761338.1792528</v>
      </c>
      <c r="AU72" s="230">
        <f>SUM($C$69:AU69)</f>
        <v>493761338.1792528</v>
      </c>
      <c r="AV72" s="230">
        <f>SUM($C$69:AV69)</f>
        <v>493761338.1792528</v>
      </c>
      <c r="AW72" s="230">
        <f>SUM($C$69:AW69)</f>
        <v>493761338.1792528</v>
      </c>
      <c r="AX72" s="230">
        <f>SUM($C$69:AX69)</f>
        <v>493761338.1792528</v>
      </c>
      <c r="AY72" s="230">
        <f>SUM($C$69:AY69)</f>
        <v>493761338.1792528</v>
      </c>
      <c r="AZ72" s="230">
        <f>SUM($C$69:AZ69)</f>
        <v>493761338.1792528</v>
      </c>
      <c r="BA72" s="230">
        <f>SUM($C$69:BA69)</f>
        <v>493761338.1792528</v>
      </c>
      <c r="BB72" s="230">
        <f>SUM($C$69:BB69)</f>
        <v>493761338.1792528</v>
      </c>
      <c r="BC72" s="230">
        <f>SUM($C$69:BC69)</f>
        <v>493761338.1792528</v>
      </c>
      <c r="BD72" s="230">
        <f>SUM($C$69:BD69)</f>
        <v>493761338.1792528</v>
      </c>
      <c r="BE72" s="230">
        <f>SUM($C$69:BE69)</f>
        <v>493761338.1792528</v>
      </c>
      <c r="BF72" s="230">
        <f>SUM($C$69:BF69)</f>
        <v>493761338.1792528</v>
      </c>
      <c r="BG72" s="230">
        <f>SUM($C$69:BG69)</f>
        <v>493761338.1792528</v>
      </c>
      <c r="BH72" s="230">
        <f>SUM($C$69:BH69)</f>
        <v>493761338.1792528</v>
      </c>
      <c r="BI72" s="230">
        <f>SUM($C$69:BI69)</f>
        <v>493761338.1792528</v>
      </c>
      <c r="BJ72" s="230">
        <f>SUM($C$69:BJ69)</f>
        <v>493761338.1792528</v>
      </c>
      <c r="BK72" s="230">
        <f>SUM($C$69:BK69)</f>
        <v>493761338.1792528</v>
      </c>
      <c r="BL72" s="230"/>
      <c r="BM72" s="257"/>
    </row>
    <row r="73" spans="1:65" ht="14.5" customHeight="1"/>
    <row r="74" spans="1:65" ht="14.5" customHeight="1"/>
    <row r="75" spans="1:65" ht="14.5" customHeight="1">
      <c r="A75" s="3" t="s">
        <v>41</v>
      </c>
      <c r="C75" s="38">
        <f>C72</f>
        <v>0</v>
      </c>
      <c r="D75" s="38">
        <f>D69</f>
        <v>2133180.8445791448</v>
      </c>
      <c r="E75" s="38">
        <f t="shared" ref="E75:AP75" si="114">E69</f>
        <v>7325235.6102624685</v>
      </c>
      <c r="F75" s="38">
        <f t="shared" si="114"/>
        <v>17612103.808250245</v>
      </c>
      <c r="G75" s="38">
        <f t="shared" si="114"/>
        <v>29206022.322358806</v>
      </c>
      <c r="H75" s="38">
        <f t="shared" si="114"/>
        <v>37304541.086657405</v>
      </c>
      <c r="I75" s="38">
        <f t="shared" si="114"/>
        <v>44235904.910880908</v>
      </c>
      <c r="J75" s="38">
        <f t="shared" si="114"/>
        <v>50352564.271336704</v>
      </c>
      <c r="K75" s="38">
        <f t="shared" si="114"/>
        <v>54810220.459204316</v>
      </c>
      <c r="L75" s="38">
        <f t="shared" si="114"/>
        <v>51688399.617187761</v>
      </c>
      <c r="M75" s="38">
        <f t="shared" si="114"/>
        <v>43737174.204812035</v>
      </c>
      <c r="N75" s="38">
        <f t="shared" si="114"/>
        <v>37582037.558981016</v>
      </c>
      <c r="O75" s="38">
        <f t="shared" si="114"/>
        <v>32321426.789898064</v>
      </c>
      <c r="P75" s="38">
        <f t="shared" si="114"/>
        <v>26651756.266396835</v>
      </c>
      <c r="Q75" s="38">
        <f t="shared" si="114"/>
        <v>21105845.361350853</v>
      </c>
      <c r="R75" s="38">
        <f t="shared" si="114"/>
        <v>16494054.515976258</v>
      </c>
      <c r="S75" s="38">
        <f t="shared" si="114"/>
        <v>11750483.315455653</v>
      </c>
      <c r="T75" s="38">
        <f t="shared" si="114"/>
        <v>6878068.2218354782</v>
      </c>
      <c r="U75" s="38">
        <f t="shared" si="114"/>
        <v>2279330.0916737383</v>
      </c>
      <c r="V75" s="38">
        <f t="shared" si="114"/>
        <v>129086.37586776422</v>
      </c>
      <c r="W75" s="38">
        <f t="shared" si="114"/>
        <v>90554.514502596547</v>
      </c>
      <c r="X75" s="38">
        <f t="shared" si="114"/>
        <v>54876.522557788368</v>
      </c>
      <c r="Y75" s="38">
        <f t="shared" si="114"/>
        <v>18471.509226967948</v>
      </c>
      <c r="Z75" s="38">
        <f t="shared" si="114"/>
        <v>0</v>
      </c>
      <c r="AA75" s="38">
        <f t="shared" si="114"/>
        <v>0</v>
      </c>
      <c r="AB75" s="38">
        <f t="shared" si="114"/>
        <v>0</v>
      </c>
      <c r="AC75" s="38">
        <f t="shared" si="114"/>
        <v>0</v>
      </c>
      <c r="AD75" s="38">
        <f t="shared" si="114"/>
        <v>0</v>
      </c>
      <c r="AE75" s="38">
        <f>AE69</f>
        <v>0</v>
      </c>
      <c r="AF75" s="38">
        <f t="shared" si="114"/>
        <v>0</v>
      </c>
      <c r="AG75" s="38">
        <f t="shared" si="114"/>
        <v>0</v>
      </c>
      <c r="AH75" s="38">
        <f t="shared" si="114"/>
        <v>0</v>
      </c>
      <c r="AI75" s="38">
        <f t="shared" si="114"/>
        <v>0</v>
      </c>
      <c r="AJ75" s="38">
        <f t="shared" si="114"/>
        <v>0</v>
      </c>
      <c r="AK75" s="38">
        <f t="shared" si="114"/>
        <v>0</v>
      </c>
      <c r="AL75" s="38">
        <f t="shared" si="114"/>
        <v>0</v>
      </c>
      <c r="AM75" s="38">
        <f t="shared" si="114"/>
        <v>0</v>
      </c>
      <c r="AN75" s="38">
        <f t="shared" si="114"/>
        <v>0</v>
      </c>
      <c r="AO75" s="38">
        <f t="shared" si="114"/>
        <v>0</v>
      </c>
      <c r="AP75" s="38">
        <f t="shared" si="114"/>
        <v>0</v>
      </c>
      <c r="AQ75" s="38">
        <f t="shared" ref="AQ75:AX75" si="115">AQ69</f>
        <v>0</v>
      </c>
      <c r="AR75" s="38">
        <f t="shared" si="115"/>
        <v>0</v>
      </c>
      <c r="AS75" s="38">
        <f t="shared" si="115"/>
        <v>0</v>
      </c>
      <c r="AT75" s="38">
        <f t="shared" si="115"/>
        <v>0</v>
      </c>
      <c r="AU75" s="38">
        <f t="shared" si="115"/>
        <v>0</v>
      </c>
      <c r="AV75" s="38">
        <f t="shared" si="115"/>
        <v>0</v>
      </c>
      <c r="AW75" s="38">
        <f t="shared" si="115"/>
        <v>0</v>
      </c>
      <c r="AX75" s="38">
        <f t="shared" si="115"/>
        <v>0</v>
      </c>
      <c r="AY75" s="38">
        <f t="shared" ref="AY75:BB75" si="116">AY69</f>
        <v>0</v>
      </c>
      <c r="AZ75" s="38">
        <f t="shared" si="116"/>
        <v>0</v>
      </c>
      <c r="BA75" s="38">
        <f t="shared" si="116"/>
        <v>0</v>
      </c>
      <c r="BB75" s="38">
        <f t="shared" si="116"/>
        <v>0</v>
      </c>
      <c r="BC75" s="38">
        <f t="shared" ref="BC75:BK75" si="117">BC69</f>
        <v>0</v>
      </c>
      <c r="BD75" s="38">
        <f t="shared" si="117"/>
        <v>0</v>
      </c>
      <c r="BE75" s="38">
        <f t="shared" si="117"/>
        <v>0</v>
      </c>
      <c r="BF75" s="38">
        <f t="shared" si="117"/>
        <v>0</v>
      </c>
      <c r="BG75" s="38">
        <f t="shared" si="117"/>
        <v>0</v>
      </c>
      <c r="BH75" s="38">
        <f t="shared" si="117"/>
        <v>0</v>
      </c>
      <c r="BI75" s="38">
        <f t="shared" si="117"/>
        <v>0</v>
      </c>
      <c r="BJ75" s="38">
        <f t="shared" si="117"/>
        <v>0</v>
      </c>
      <c r="BK75" s="38">
        <f t="shared" si="117"/>
        <v>0</v>
      </c>
      <c r="BL75" s="38"/>
    </row>
    <row r="76" spans="1:65" ht="14.5" customHeight="1">
      <c r="A76" s="3" t="s">
        <v>39</v>
      </c>
      <c r="C76" s="38">
        <f>C51</f>
        <v>0</v>
      </c>
      <c r="D76" s="38">
        <f>D51</f>
        <v>0</v>
      </c>
      <c r="E76" s="38">
        <f t="shared" ref="E76:AP76" si="118">E51</f>
        <v>1066590.4222895724</v>
      </c>
      <c r="F76" s="38">
        <f t="shared" si="118"/>
        <v>2809345.4672995768</v>
      </c>
      <c r="G76" s="38">
        <f t="shared" si="118"/>
        <v>6942548.082309708</v>
      </c>
      <c r="H76" s="38">
        <f t="shared" si="118"/>
        <v>10367515.105178883</v>
      </c>
      <c r="I76" s="38">
        <f t="shared" si="118"/>
        <v>13912409.69669489</v>
      </c>
      <c r="J76" s="38">
        <f t="shared" si="118"/>
        <v>17563651.125956379</v>
      </c>
      <c r="K76" s="38">
        <f t="shared" si="118"/>
        <v>21324429.798095711</v>
      </c>
      <c r="L76" s="38">
        <f t="shared" si="118"/>
        <v>24573722.31256374</v>
      </c>
      <c r="M76" s="38">
        <f t="shared" si="118"/>
        <v>24605441.327340674</v>
      </c>
      <c r="N76" s="38">
        <f t="shared" si="118"/>
        <v>24632517.267039396</v>
      </c>
      <c r="O76" s="38">
        <f t="shared" si="118"/>
        <v>24659881.622666612</v>
      </c>
      <c r="P76" s="38">
        <f t="shared" si="118"/>
        <v>24688066.908962645</v>
      </c>
      <c r="Q76" s="38">
        <f t="shared" si="118"/>
        <v>24688066.908962645</v>
      </c>
      <c r="R76" s="38">
        <f t="shared" si="118"/>
        <v>24688066.908962645</v>
      </c>
      <c r="S76" s="38">
        <f t="shared" si="118"/>
        <v>24688066.908962645</v>
      </c>
      <c r="T76" s="38">
        <f t="shared" si="118"/>
        <v>24688066.908962645</v>
      </c>
      <c r="U76" s="38">
        <f t="shared" si="118"/>
        <v>24688066.908962645</v>
      </c>
      <c r="V76" s="38">
        <f t="shared" si="118"/>
        <v>24688066.908962645</v>
      </c>
      <c r="W76" s="38">
        <f t="shared" si="118"/>
        <v>24688066.908962645</v>
      </c>
      <c r="X76" s="38">
        <f t="shared" si="118"/>
        <v>24688066.908962645</v>
      </c>
      <c r="Y76" s="38">
        <f t="shared" si="118"/>
        <v>23621476.486673072</v>
      </c>
      <c r="Z76" s="38">
        <f t="shared" si="118"/>
        <v>21878721.441663064</v>
      </c>
      <c r="AA76" s="38">
        <f t="shared" si="118"/>
        <v>17745518.826652937</v>
      </c>
      <c r="AB76" s="38">
        <f t="shared" si="118"/>
        <v>14320551.803783761</v>
      </c>
      <c r="AC76" s="38">
        <f t="shared" si="118"/>
        <v>10775657.212267755</v>
      </c>
      <c r="AD76" s="38">
        <f t="shared" si="118"/>
        <v>7124415.7830062695</v>
      </c>
      <c r="AE76" s="38">
        <f t="shared" si="118"/>
        <v>3363637.1108669383</v>
      </c>
      <c r="AF76" s="38">
        <f t="shared" si="118"/>
        <v>114344.59639890766</v>
      </c>
      <c r="AG76" s="38">
        <f t="shared" si="118"/>
        <v>82625.581621972946</v>
      </c>
      <c r="AH76" s="38">
        <f t="shared" si="118"/>
        <v>55549.641923248957</v>
      </c>
      <c r="AI76" s="38">
        <f t="shared" si="118"/>
        <v>28185.286296032715</v>
      </c>
      <c r="AJ76" s="38">
        <f t="shared" si="118"/>
        <v>0</v>
      </c>
      <c r="AK76" s="38">
        <f t="shared" si="118"/>
        <v>0</v>
      </c>
      <c r="AL76" s="38">
        <f t="shared" si="118"/>
        <v>0</v>
      </c>
      <c r="AM76" s="38">
        <f t="shared" si="118"/>
        <v>0</v>
      </c>
      <c r="AN76" s="38">
        <f t="shared" si="118"/>
        <v>0</v>
      </c>
      <c r="AO76" s="38">
        <f t="shared" si="118"/>
        <v>0</v>
      </c>
      <c r="AP76" s="38">
        <f t="shared" si="118"/>
        <v>0</v>
      </c>
      <c r="AQ76" s="38">
        <f t="shared" ref="AQ76:AX76" si="119">AQ51</f>
        <v>0</v>
      </c>
      <c r="AR76" s="38">
        <f t="shared" si="119"/>
        <v>0</v>
      </c>
      <c r="AS76" s="38">
        <f t="shared" si="119"/>
        <v>0</v>
      </c>
      <c r="AT76" s="38">
        <f t="shared" si="119"/>
        <v>0</v>
      </c>
      <c r="AU76" s="38">
        <f t="shared" si="119"/>
        <v>0</v>
      </c>
      <c r="AV76" s="38">
        <f t="shared" si="119"/>
        <v>0</v>
      </c>
      <c r="AW76" s="38">
        <f t="shared" si="119"/>
        <v>0</v>
      </c>
      <c r="AX76" s="38">
        <f t="shared" si="119"/>
        <v>0</v>
      </c>
      <c r="AY76" s="38">
        <f t="shared" ref="AY76:BB76" si="120">AY51</f>
        <v>0</v>
      </c>
      <c r="AZ76" s="38">
        <f t="shared" si="120"/>
        <v>0</v>
      </c>
      <c r="BA76" s="38">
        <f t="shared" si="120"/>
        <v>0</v>
      </c>
      <c r="BB76" s="38">
        <f t="shared" si="120"/>
        <v>0</v>
      </c>
      <c r="BC76" s="38">
        <f t="shared" ref="BC76:BK76" si="121">BC51</f>
        <v>0</v>
      </c>
      <c r="BD76" s="38">
        <f t="shared" si="121"/>
        <v>0</v>
      </c>
      <c r="BE76" s="38">
        <f t="shared" si="121"/>
        <v>0</v>
      </c>
      <c r="BF76" s="38">
        <f t="shared" si="121"/>
        <v>0</v>
      </c>
      <c r="BG76" s="38">
        <f t="shared" si="121"/>
        <v>0</v>
      </c>
      <c r="BH76" s="38">
        <f t="shared" si="121"/>
        <v>0</v>
      </c>
      <c r="BI76" s="38">
        <f t="shared" si="121"/>
        <v>0</v>
      </c>
      <c r="BJ76" s="38">
        <f t="shared" si="121"/>
        <v>0</v>
      </c>
      <c r="BK76" s="38">
        <f t="shared" si="121"/>
        <v>0</v>
      </c>
      <c r="BL76" s="38"/>
    </row>
    <row r="77" spans="1:65" ht="14.5" customHeight="1">
      <c r="A77" s="3" t="s">
        <v>45</v>
      </c>
      <c r="C77" s="40">
        <f>C75-C76</f>
        <v>0</v>
      </c>
      <c r="D77" s="40">
        <f>D75-D76</f>
        <v>2133180.8445791448</v>
      </c>
      <c r="E77" s="40">
        <f t="shared" ref="E77:AP77" si="122">E75-E76</f>
        <v>6258645.1879728958</v>
      </c>
      <c r="F77" s="40">
        <f t="shared" si="122"/>
        <v>14802758.340950668</v>
      </c>
      <c r="G77" s="40">
        <f>G75-G76</f>
        <v>22263474.240049098</v>
      </c>
      <c r="H77" s="40">
        <f t="shared" si="122"/>
        <v>26937025.98147852</v>
      </c>
      <c r="I77" s="40">
        <f t="shared" si="122"/>
        <v>30323495.21418602</v>
      </c>
      <c r="J77" s="40">
        <f t="shared" si="122"/>
        <v>32788913.145380326</v>
      </c>
      <c r="K77" s="40">
        <f t="shared" si="122"/>
        <v>33485790.661108606</v>
      </c>
      <c r="L77" s="40">
        <f t="shared" si="122"/>
        <v>27114677.304624021</v>
      </c>
      <c r="M77" s="40">
        <f t="shared" si="122"/>
        <v>19131732.877471361</v>
      </c>
      <c r="N77" s="40">
        <f t="shared" si="122"/>
        <v>12949520.29194162</v>
      </c>
      <c r="O77" s="40">
        <f t="shared" si="122"/>
        <v>7661545.1672314517</v>
      </c>
      <c r="P77" s="40">
        <f t="shared" si="122"/>
        <v>1963689.3574341908</v>
      </c>
      <c r="Q77" s="40">
        <f t="shared" si="122"/>
        <v>-3582221.5476117916</v>
      </c>
      <c r="R77" s="40">
        <f t="shared" si="122"/>
        <v>-8194012.392986387</v>
      </c>
      <c r="S77" s="40">
        <f t="shared" si="122"/>
        <v>-12937583.593506992</v>
      </c>
      <c r="T77" s="40">
        <f t="shared" si="122"/>
        <v>-17809998.687127165</v>
      </c>
      <c r="U77" s="40">
        <f t="shared" si="122"/>
        <v>-22408736.817288905</v>
      </c>
      <c r="V77" s="40">
        <f t="shared" si="122"/>
        <v>-24558980.533094879</v>
      </c>
      <c r="W77" s="40">
        <f t="shared" si="122"/>
        <v>-24597512.394460049</v>
      </c>
      <c r="X77" s="40">
        <f t="shared" si="122"/>
        <v>-24633190.386404857</v>
      </c>
      <c r="Y77" s="40">
        <f t="shared" si="122"/>
        <v>-23603004.977446105</v>
      </c>
      <c r="Z77" s="40">
        <f t="shared" si="122"/>
        <v>-21878721.441663064</v>
      </c>
      <c r="AA77" s="40">
        <f t="shared" si="122"/>
        <v>-17745518.826652937</v>
      </c>
      <c r="AB77" s="40">
        <f t="shared" si="122"/>
        <v>-14320551.803783761</v>
      </c>
      <c r="AC77" s="40">
        <f t="shared" si="122"/>
        <v>-10775657.212267755</v>
      </c>
      <c r="AD77" s="40">
        <f>AD75-AD76</f>
        <v>-7124415.7830062695</v>
      </c>
      <c r="AE77" s="40">
        <f t="shared" si="122"/>
        <v>-3363637.1108669383</v>
      </c>
      <c r="AF77" s="40">
        <f t="shared" si="122"/>
        <v>-114344.59639890766</v>
      </c>
      <c r="AG77" s="40">
        <f t="shared" si="122"/>
        <v>-82625.581621972946</v>
      </c>
      <c r="AH77" s="40">
        <f t="shared" si="122"/>
        <v>-55549.641923248957</v>
      </c>
      <c r="AI77" s="40">
        <f t="shared" si="122"/>
        <v>-28185.286296032715</v>
      </c>
      <c r="AJ77" s="40">
        <f t="shared" si="122"/>
        <v>0</v>
      </c>
      <c r="AK77" s="40">
        <f t="shared" si="122"/>
        <v>0</v>
      </c>
      <c r="AL77" s="40">
        <f t="shared" si="122"/>
        <v>0</v>
      </c>
      <c r="AM77" s="40">
        <f t="shared" si="122"/>
        <v>0</v>
      </c>
      <c r="AN77" s="40">
        <f t="shared" si="122"/>
        <v>0</v>
      </c>
      <c r="AO77" s="40">
        <f t="shared" si="122"/>
        <v>0</v>
      </c>
      <c r="AP77" s="40">
        <f t="shared" si="122"/>
        <v>0</v>
      </c>
      <c r="AQ77" s="40">
        <f t="shared" ref="AQ77:AX77" si="123">AQ75-AQ76</f>
        <v>0</v>
      </c>
      <c r="AR77" s="40">
        <f t="shared" si="123"/>
        <v>0</v>
      </c>
      <c r="AS77" s="40">
        <f t="shared" si="123"/>
        <v>0</v>
      </c>
      <c r="AT77" s="40">
        <f t="shared" si="123"/>
        <v>0</v>
      </c>
      <c r="AU77" s="40">
        <f t="shared" si="123"/>
        <v>0</v>
      </c>
      <c r="AV77" s="40">
        <f t="shared" si="123"/>
        <v>0</v>
      </c>
      <c r="AW77" s="40">
        <f t="shared" si="123"/>
        <v>0</v>
      </c>
      <c r="AX77" s="40">
        <f t="shared" si="123"/>
        <v>0</v>
      </c>
      <c r="AY77" s="40">
        <f t="shared" ref="AY77:BB77" si="124">AY75-AY76</f>
        <v>0</v>
      </c>
      <c r="AZ77" s="40">
        <f t="shared" si="124"/>
        <v>0</v>
      </c>
      <c r="BA77" s="40">
        <f t="shared" si="124"/>
        <v>0</v>
      </c>
      <c r="BB77" s="40">
        <f t="shared" si="124"/>
        <v>0</v>
      </c>
      <c r="BC77" s="40">
        <f t="shared" ref="BC77:BK77" si="125">BC75-BC76</f>
        <v>0</v>
      </c>
      <c r="BD77" s="40">
        <f t="shared" si="125"/>
        <v>0</v>
      </c>
      <c r="BE77" s="40">
        <f t="shared" si="125"/>
        <v>0</v>
      </c>
      <c r="BF77" s="40">
        <f t="shared" si="125"/>
        <v>0</v>
      </c>
      <c r="BG77" s="40">
        <f t="shared" si="125"/>
        <v>0</v>
      </c>
      <c r="BH77" s="40">
        <f t="shared" si="125"/>
        <v>0</v>
      </c>
      <c r="BI77" s="40">
        <f t="shared" si="125"/>
        <v>0</v>
      </c>
      <c r="BJ77" s="40">
        <f t="shared" si="125"/>
        <v>0</v>
      </c>
      <c r="BK77" s="40">
        <f t="shared" si="125"/>
        <v>0</v>
      </c>
      <c r="BL77" s="40"/>
    </row>
    <row r="78" spans="1:65" ht="14.5" customHeight="1">
      <c r="A78" s="3" t="s">
        <v>46</v>
      </c>
      <c r="B78" s="41">
        <f>FIT_Tax_Rate</f>
        <v>0.35</v>
      </c>
      <c r="C78" s="36">
        <f>C77*FIT_Tax_Rate</f>
        <v>0</v>
      </c>
      <c r="D78" s="36">
        <f t="shared" ref="D78:AP78" si="126">D77*FIT_Tax_Rate</f>
        <v>746613.29560270067</v>
      </c>
      <c r="E78" s="36">
        <f t="shared" si="126"/>
        <v>2190525.8157905135</v>
      </c>
      <c r="F78" s="36">
        <f>F77*FIT_Tax_Rate</f>
        <v>5180965.4193327334</v>
      </c>
      <c r="G78" s="36">
        <f>G77*FIT_Tax_Rate</f>
        <v>7792215.984017184</v>
      </c>
      <c r="H78" s="36">
        <f t="shared" si="126"/>
        <v>9427959.0935174804</v>
      </c>
      <c r="I78" s="36">
        <f t="shared" si="126"/>
        <v>10613223.324965106</v>
      </c>
      <c r="J78" s="36">
        <f>J77*FIT_Tax_Rate</f>
        <v>11476119.600883113</v>
      </c>
      <c r="K78" s="36">
        <f t="shared" si="126"/>
        <v>11720026.731388012</v>
      </c>
      <c r="L78" s="36">
        <f t="shared" si="126"/>
        <v>9490137.0566184074</v>
      </c>
      <c r="M78" s="36">
        <f t="shared" si="126"/>
        <v>6696106.5071149757</v>
      </c>
      <c r="N78" s="36">
        <f t="shared" si="126"/>
        <v>4532332.1021795664</v>
      </c>
      <c r="O78" s="36">
        <f t="shared" si="126"/>
        <v>2681540.8085310077</v>
      </c>
      <c r="P78" s="36">
        <f t="shared" si="126"/>
        <v>687291.27510196669</v>
      </c>
      <c r="Q78" s="36">
        <f t="shared" si="126"/>
        <v>-1253777.541664127</v>
      </c>
      <c r="R78" s="36">
        <f t="shared" si="126"/>
        <v>-2867904.3375452352</v>
      </c>
      <c r="S78" s="36">
        <f t="shared" si="126"/>
        <v>-4528154.257727447</v>
      </c>
      <c r="T78" s="36">
        <f t="shared" si="126"/>
        <v>-6233499.5404945072</v>
      </c>
      <c r="U78" s="36">
        <f t="shared" si="126"/>
        <v>-7843057.8860511165</v>
      </c>
      <c r="V78" s="36">
        <f t="shared" si="126"/>
        <v>-8595643.1865832079</v>
      </c>
      <c r="W78" s="36">
        <f t="shared" si="126"/>
        <v>-8609129.3380610161</v>
      </c>
      <c r="X78" s="36">
        <f t="shared" si="126"/>
        <v>-8621616.6352417003</v>
      </c>
      <c r="Y78" s="36">
        <f t="shared" si="126"/>
        <v>-8261051.7421061359</v>
      </c>
      <c r="Z78" s="36">
        <f t="shared" si="126"/>
        <v>-7657552.5045820717</v>
      </c>
      <c r="AA78" s="36">
        <f t="shared" si="126"/>
        <v>-6210931.5893285275</v>
      </c>
      <c r="AB78" s="36">
        <f t="shared" si="126"/>
        <v>-5012193.1313243164</v>
      </c>
      <c r="AC78" s="36">
        <f t="shared" si="126"/>
        <v>-3771480.0242937137</v>
      </c>
      <c r="AD78" s="36">
        <f t="shared" si="126"/>
        <v>-2493545.5240521943</v>
      </c>
      <c r="AE78" s="36">
        <f>AE77*FIT_Tax_Rate</f>
        <v>-1177272.9888034284</v>
      </c>
      <c r="AF78" s="36">
        <f t="shared" si="126"/>
        <v>-40020.608739617674</v>
      </c>
      <c r="AG78" s="36">
        <f t="shared" si="126"/>
        <v>-28918.953567690529</v>
      </c>
      <c r="AH78" s="36">
        <f t="shared" si="126"/>
        <v>-19442.374673137132</v>
      </c>
      <c r="AI78" s="36">
        <f t="shared" si="126"/>
        <v>-9864.8502036114496</v>
      </c>
      <c r="AJ78" s="36">
        <f t="shared" si="126"/>
        <v>0</v>
      </c>
      <c r="AK78" s="36">
        <f t="shared" si="126"/>
        <v>0</v>
      </c>
      <c r="AL78" s="36">
        <f t="shared" si="126"/>
        <v>0</v>
      </c>
      <c r="AM78" s="36">
        <f t="shared" si="126"/>
        <v>0</v>
      </c>
      <c r="AN78" s="36">
        <f t="shared" si="126"/>
        <v>0</v>
      </c>
      <c r="AO78" s="36">
        <f t="shared" si="126"/>
        <v>0</v>
      </c>
      <c r="AP78" s="36">
        <f t="shared" si="126"/>
        <v>0</v>
      </c>
      <c r="AQ78" s="36">
        <f t="shared" ref="AQ78:AX78" si="127">AQ77*FIT_Tax_Rate</f>
        <v>0</v>
      </c>
      <c r="AR78" s="36">
        <f t="shared" si="127"/>
        <v>0</v>
      </c>
      <c r="AS78" s="36">
        <f t="shared" si="127"/>
        <v>0</v>
      </c>
      <c r="AT78" s="36">
        <f t="shared" si="127"/>
        <v>0</v>
      </c>
      <c r="AU78" s="36">
        <f t="shared" si="127"/>
        <v>0</v>
      </c>
      <c r="AV78" s="36">
        <f t="shared" si="127"/>
        <v>0</v>
      </c>
      <c r="AW78" s="36">
        <f t="shared" si="127"/>
        <v>0</v>
      </c>
      <c r="AX78" s="36">
        <f t="shared" si="127"/>
        <v>0</v>
      </c>
      <c r="AY78" s="36">
        <f t="shared" ref="AY78:BB78" si="128">AY77*FIT_Tax_Rate</f>
        <v>0</v>
      </c>
      <c r="AZ78" s="36">
        <f t="shared" si="128"/>
        <v>0</v>
      </c>
      <c r="BA78" s="36">
        <f t="shared" si="128"/>
        <v>0</v>
      </c>
      <c r="BB78" s="36">
        <f t="shared" si="128"/>
        <v>0</v>
      </c>
      <c r="BC78" s="36">
        <f t="shared" ref="BC78:BK78" si="129">BC77*FIT_Tax_Rate</f>
        <v>0</v>
      </c>
      <c r="BD78" s="36">
        <f t="shared" si="129"/>
        <v>0</v>
      </c>
      <c r="BE78" s="36">
        <f t="shared" si="129"/>
        <v>0</v>
      </c>
      <c r="BF78" s="36">
        <f t="shared" si="129"/>
        <v>0</v>
      </c>
      <c r="BG78" s="36">
        <f t="shared" si="129"/>
        <v>0</v>
      </c>
      <c r="BH78" s="36">
        <f t="shared" si="129"/>
        <v>0</v>
      </c>
      <c r="BI78" s="36">
        <f t="shared" si="129"/>
        <v>0</v>
      </c>
      <c r="BJ78" s="36">
        <f t="shared" si="129"/>
        <v>0</v>
      </c>
      <c r="BK78" s="36">
        <f t="shared" si="129"/>
        <v>0</v>
      </c>
      <c r="BL78" s="36"/>
    </row>
    <row r="79" spans="1:65" ht="14.5" customHeight="1">
      <c r="A79" s="42" t="s">
        <v>47</v>
      </c>
      <c r="C79" s="37">
        <f>C78</f>
        <v>0</v>
      </c>
      <c r="D79" s="37">
        <f>C79+D78</f>
        <v>746613.29560270067</v>
      </c>
      <c r="E79" s="37">
        <f t="shared" ref="E79:AO79" si="130">D79+E78</f>
        <v>2937139.1113932142</v>
      </c>
      <c r="F79" s="37">
        <f t="shared" si="130"/>
        <v>8118104.5307259476</v>
      </c>
      <c r="G79" s="37">
        <f t="shared" si="130"/>
        <v>15910320.514743131</v>
      </c>
      <c r="H79" s="37">
        <f t="shared" si="130"/>
        <v>25338279.608260609</v>
      </c>
      <c r="I79" s="37">
        <f t="shared" si="130"/>
        <v>35951502.933225714</v>
      </c>
      <c r="J79" s="37">
        <f t="shared" si="130"/>
        <v>47427622.534108825</v>
      </c>
      <c r="K79" s="37">
        <f t="shared" si="130"/>
        <v>59147649.265496835</v>
      </c>
      <c r="L79" s="37">
        <f t="shared" si="130"/>
        <v>68637786.322115242</v>
      </c>
      <c r="M79" s="37">
        <f t="shared" si="130"/>
        <v>75333892.829230219</v>
      </c>
      <c r="N79" s="37">
        <f t="shared" si="130"/>
        <v>79866224.931409791</v>
      </c>
      <c r="O79" s="37">
        <f t="shared" si="130"/>
        <v>82547765.739940792</v>
      </c>
      <c r="P79" s="37">
        <f t="shared" si="130"/>
        <v>83235057.015042752</v>
      </c>
      <c r="Q79" s="37">
        <f t="shared" si="130"/>
        <v>81981279.473378628</v>
      </c>
      <c r="R79" s="37">
        <f t="shared" si="130"/>
        <v>79113375.135833398</v>
      </c>
      <c r="S79" s="37">
        <f t="shared" si="130"/>
        <v>74585220.878105953</v>
      </c>
      <c r="T79" s="37">
        <f t="shared" si="130"/>
        <v>68351721.337611452</v>
      </c>
      <c r="U79" s="37">
        <f t="shared" si="130"/>
        <v>60508663.451560333</v>
      </c>
      <c r="V79" s="37">
        <f t="shared" si="130"/>
        <v>51913020.264977127</v>
      </c>
      <c r="W79" s="37">
        <f t="shared" si="130"/>
        <v>43303890.926916108</v>
      </c>
      <c r="X79" s="37">
        <f t="shared" si="130"/>
        <v>34682274.291674405</v>
      </c>
      <c r="Y79" s="37">
        <f t="shared" si="130"/>
        <v>26421222.549568269</v>
      </c>
      <c r="Z79" s="37">
        <f t="shared" si="130"/>
        <v>18763670.044986196</v>
      </c>
      <c r="AA79" s="37">
        <f t="shared" si="130"/>
        <v>12552738.455657668</v>
      </c>
      <c r="AB79" s="37">
        <f t="shared" si="130"/>
        <v>7540545.324333352</v>
      </c>
      <c r="AC79" s="37">
        <f>AB79+AC78</f>
        <v>3769065.3000396383</v>
      </c>
      <c r="AD79" s="37">
        <f>AC79+AD78</f>
        <v>1275519.775987444</v>
      </c>
      <c r="AE79" s="37">
        <f>AD79+AE78</f>
        <v>98246.787184015615</v>
      </c>
      <c r="AF79" s="37">
        <f t="shared" si="130"/>
        <v>58226.178444397941</v>
      </c>
      <c r="AG79" s="37">
        <f t="shared" si="130"/>
        <v>29307.224876707412</v>
      </c>
      <c r="AH79" s="37">
        <f t="shared" si="130"/>
        <v>9864.8502035702804</v>
      </c>
      <c r="AI79" s="37">
        <f t="shared" si="130"/>
        <v>-4.116918717045337E-8</v>
      </c>
      <c r="AJ79" s="37">
        <f t="shared" si="130"/>
        <v>-4.116918717045337E-8</v>
      </c>
      <c r="AK79" s="37">
        <f t="shared" si="130"/>
        <v>-4.116918717045337E-8</v>
      </c>
      <c r="AL79" s="37">
        <f t="shared" si="130"/>
        <v>-4.116918717045337E-8</v>
      </c>
      <c r="AM79" s="37">
        <f t="shared" si="130"/>
        <v>-4.116918717045337E-8</v>
      </c>
      <c r="AN79" s="37">
        <f t="shared" si="130"/>
        <v>-4.116918717045337E-8</v>
      </c>
      <c r="AO79" s="37">
        <f t="shared" si="130"/>
        <v>-4.116918717045337E-8</v>
      </c>
      <c r="AP79" s="37">
        <f>AO79+AP78</f>
        <v>-4.116918717045337E-8</v>
      </c>
      <c r="AQ79" s="37">
        <f t="shared" ref="AQ79" si="131">AP79+AQ78</f>
        <v>-4.116918717045337E-8</v>
      </c>
      <c r="AR79" s="37">
        <f t="shared" ref="AR79" si="132">AQ79+AR78</f>
        <v>-4.116918717045337E-8</v>
      </c>
      <c r="AS79" s="37">
        <f t="shared" ref="AS79" si="133">AR79+AS78</f>
        <v>-4.116918717045337E-8</v>
      </c>
      <c r="AT79" s="37">
        <f t="shared" ref="AT79" si="134">AS79+AT78</f>
        <v>-4.116918717045337E-8</v>
      </c>
      <c r="AU79" s="37">
        <f t="shared" ref="AU79" si="135">AT79+AU78</f>
        <v>-4.116918717045337E-8</v>
      </c>
      <c r="AV79" s="37">
        <f t="shared" ref="AV79" si="136">AU79+AV78</f>
        <v>-4.116918717045337E-8</v>
      </c>
      <c r="AW79" s="37">
        <f t="shared" ref="AW79" si="137">AV79+AW78</f>
        <v>-4.116918717045337E-8</v>
      </c>
      <c r="AX79" s="37">
        <f t="shared" ref="AX79" si="138">AW79+AX78</f>
        <v>-4.116918717045337E-8</v>
      </c>
      <c r="AY79" s="37">
        <f t="shared" ref="AY79" si="139">AX79+AY78</f>
        <v>-4.116918717045337E-8</v>
      </c>
      <c r="AZ79" s="37">
        <f t="shared" ref="AZ79" si="140">AY79+AZ78</f>
        <v>-4.116918717045337E-8</v>
      </c>
      <c r="BA79" s="37">
        <f t="shared" ref="BA79" si="141">AZ79+BA78</f>
        <v>-4.116918717045337E-8</v>
      </c>
      <c r="BB79" s="37">
        <f t="shared" ref="BB79" si="142">BA79+BB78</f>
        <v>-4.116918717045337E-8</v>
      </c>
      <c r="BC79" s="37">
        <f t="shared" ref="BC79" si="143">BB79+BC78</f>
        <v>-4.116918717045337E-8</v>
      </c>
      <c r="BD79" s="37">
        <f t="shared" ref="BD79" si="144">BC79+BD78</f>
        <v>-4.116918717045337E-8</v>
      </c>
      <c r="BE79" s="37">
        <f t="shared" ref="BE79" si="145">BD79+BE78</f>
        <v>-4.116918717045337E-8</v>
      </c>
      <c r="BF79" s="37">
        <f t="shared" ref="BF79" si="146">BE79+BF78</f>
        <v>-4.116918717045337E-8</v>
      </c>
      <c r="BG79" s="37">
        <f t="shared" ref="BG79" si="147">BF79+BG78</f>
        <v>-4.116918717045337E-8</v>
      </c>
      <c r="BH79" s="37">
        <f t="shared" ref="BH79" si="148">BG79+BH78</f>
        <v>-4.116918717045337E-8</v>
      </c>
      <c r="BI79" s="37">
        <f t="shared" ref="BI79" si="149">BH79+BI78</f>
        <v>-4.116918717045337E-8</v>
      </c>
      <c r="BJ79" s="37">
        <f t="shared" ref="BJ79" si="150">BI79+BJ78</f>
        <v>-4.116918717045337E-8</v>
      </c>
      <c r="BK79" s="37">
        <f t="shared" ref="BK79" si="151">BJ79+BK78</f>
        <v>-4.116918717045337E-8</v>
      </c>
      <c r="BL79" s="37"/>
      <c r="BM79" s="259">
        <f>BK79</f>
        <v>-4.116918717045337E-8</v>
      </c>
    </row>
    <row r="80" spans="1:65" ht="14.5" customHeight="1"/>
    <row r="81" ht="14.5" customHeight="1"/>
    <row r="82" ht="14.5" customHeight="1"/>
    <row r="83" ht="14.5" customHeight="1"/>
    <row r="84" ht="14.5" customHeight="1"/>
    <row r="85" ht="14.5" customHeight="1"/>
    <row r="86" ht="14.5" customHeight="1"/>
    <row r="87" ht="14.5" customHeight="1"/>
    <row r="88" ht="14.5" customHeight="1"/>
    <row r="89" ht="14.5" customHeight="1"/>
    <row r="90" ht="14.5" customHeight="1"/>
    <row r="91" ht="14.5" customHeight="1"/>
    <row r="92" ht="14.5" customHeight="1"/>
    <row r="93" ht="14.5" customHeight="1"/>
    <row r="94" ht="14.5" customHeight="1"/>
    <row r="95" ht="14.5" customHeight="1"/>
    <row r="96" ht="14.5" customHeight="1"/>
    <row r="97" ht="14.5" customHeight="1"/>
    <row r="98" ht="14.5" customHeight="1"/>
    <row r="99" ht="14.5" customHeight="1"/>
    <row r="100" ht="14.5" customHeight="1"/>
  </sheetData>
  <sortState ref="A12:AP14">
    <sortCondition ref="A12:A14"/>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2:AQ73"/>
  <sheetViews>
    <sheetView showGridLines="0" zoomScale="130" zoomScaleNormal="130" workbookViewId="0">
      <selection activeCell="O55" sqref="O55"/>
    </sheetView>
  </sheetViews>
  <sheetFormatPr defaultColWidth="9.1796875" defaultRowHeight="14.5"/>
  <cols>
    <col min="1" max="1" width="2" style="49" customWidth="1"/>
    <col min="2" max="2" width="22.26953125" style="24" customWidth="1"/>
    <col min="3" max="3" width="10.453125" style="326" customWidth="1"/>
    <col min="4" max="43" width="11.54296875" style="24" bestFit="1" customWidth="1"/>
    <col min="44" max="16384" width="9.1796875" style="24"/>
  </cols>
  <sheetData>
    <row r="2" spans="1:43">
      <c r="B2" s="276" t="str">
        <f>Project_Description</f>
        <v xml:space="preserve">AMI Model </v>
      </c>
    </row>
    <row r="3" spans="1:43">
      <c r="B3" s="27" t="s">
        <v>149</v>
      </c>
      <c r="C3" s="327"/>
      <c r="D3"/>
    </row>
    <row r="4" spans="1:43" s="23" customFormat="1">
      <c r="A4" s="49"/>
      <c r="B4" s="27"/>
      <c r="C4" s="328"/>
      <c r="D4" s="58">
        <f>Start_Year</f>
        <v>2016</v>
      </c>
      <c r="E4" s="58">
        <f>D4+1</f>
        <v>2017</v>
      </c>
      <c r="F4" s="58">
        <f t="shared" ref="F4:AQ4" si="0">E4+1</f>
        <v>2018</v>
      </c>
      <c r="G4" s="58">
        <f t="shared" si="0"/>
        <v>2019</v>
      </c>
      <c r="H4" s="58">
        <f t="shared" si="0"/>
        <v>2020</v>
      </c>
      <c r="I4" s="58">
        <f t="shared" si="0"/>
        <v>2021</v>
      </c>
      <c r="J4" s="58">
        <f t="shared" si="0"/>
        <v>2022</v>
      </c>
      <c r="K4" s="58">
        <f t="shared" si="0"/>
        <v>2023</v>
      </c>
      <c r="L4" s="58">
        <f t="shared" si="0"/>
        <v>2024</v>
      </c>
      <c r="M4" s="58">
        <f t="shared" si="0"/>
        <v>2025</v>
      </c>
      <c r="N4" s="58">
        <f t="shared" si="0"/>
        <v>2026</v>
      </c>
      <c r="O4" s="58">
        <f t="shared" si="0"/>
        <v>2027</v>
      </c>
      <c r="P4" s="58">
        <f t="shared" si="0"/>
        <v>2028</v>
      </c>
      <c r="Q4" s="58">
        <f t="shared" si="0"/>
        <v>2029</v>
      </c>
      <c r="R4" s="58">
        <f t="shared" si="0"/>
        <v>2030</v>
      </c>
      <c r="S4" s="58">
        <f t="shared" si="0"/>
        <v>2031</v>
      </c>
      <c r="T4" s="58">
        <f t="shared" si="0"/>
        <v>2032</v>
      </c>
      <c r="U4" s="58">
        <f t="shared" si="0"/>
        <v>2033</v>
      </c>
      <c r="V4" s="58">
        <f t="shared" si="0"/>
        <v>2034</v>
      </c>
      <c r="W4" s="58">
        <f t="shared" si="0"/>
        <v>2035</v>
      </c>
      <c r="X4" s="58">
        <f t="shared" si="0"/>
        <v>2036</v>
      </c>
      <c r="Y4" s="58">
        <f t="shared" si="0"/>
        <v>2037</v>
      </c>
      <c r="Z4" s="58">
        <f t="shared" si="0"/>
        <v>2038</v>
      </c>
      <c r="AA4" s="58">
        <f t="shared" si="0"/>
        <v>2039</v>
      </c>
      <c r="AB4" s="58">
        <f t="shared" si="0"/>
        <v>2040</v>
      </c>
      <c r="AC4" s="58">
        <f t="shared" si="0"/>
        <v>2041</v>
      </c>
      <c r="AD4" s="58">
        <f t="shared" si="0"/>
        <v>2042</v>
      </c>
      <c r="AE4" s="58">
        <f t="shared" si="0"/>
        <v>2043</v>
      </c>
      <c r="AF4" s="58">
        <f t="shared" si="0"/>
        <v>2044</v>
      </c>
      <c r="AG4" s="58">
        <f t="shared" si="0"/>
        <v>2045</v>
      </c>
      <c r="AH4" s="58">
        <f t="shared" si="0"/>
        <v>2046</v>
      </c>
      <c r="AI4" s="58">
        <f t="shared" si="0"/>
        <v>2047</v>
      </c>
      <c r="AJ4" s="58">
        <f t="shared" si="0"/>
        <v>2048</v>
      </c>
      <c r="AK4" s="58">
        <f t="shared" si="0"/>
        <v>2049</v>
      </c>
      <c r="AL4" s="58">
        <f t="shared" si="0"/>
        <v>2050</v>
      </c>
      <c r="AM4" s="58">
        <f t="shared" si="0"/>
        <v>2051</v>
      </c>
      <c r="AN4" s="58">
        <f t="shared" si="0"/>
        <v>2052</v>
      </c>
      <c r="AO4" s="58">
        <f t="shared" si="0"/>
        <v>2053</v>
      </c>
      <c r="AP4" s="58">
        <f t="shared" si="0"/>
        <v>2054</v>
      </c>
      <c r="AQ4" s="58">
        <f t="shared" si="0"/>
        <v>2055</v>
      </c>
    </row>
    <row r="5" spans="1:43">
      <c r="B5" s="25"/>
      <c r="C5" s="238"/>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row>
    <row r="6" spans="1:43">
      <c r="B6" s="25"/>
      <c r="C6" s="329"/>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1:43">
      <c r="B7" s="27" t="s">
        <v>36</v>
      </c>
      <c r="C7" s="80" t="s">
        <v>216</v>
      </c>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row>
    <row r="8" spans="1:43">
      <c r="B8" s="25" t="str">
        <f>'Project Assumptions'!B25</f>
        <v>Capital Expenditure 1</v>
      </c>
      <c r="C8" s="329">
        <f>'Project Assumptions'!E25</f>
        <v>2017</v>
      </c>
      <c r="D8" s="28">
        <f>IF($C8=D$4,SUM($D26:D26),0)</f>
        <v>0</v>
      </c>
      <c r="E8" s="28">
        <f>IF($C8=E$4,SUM($D26:E26),0)</f>
        <v>21331808.445791449</v>
      </c>
      <c r="F8" s="28">
        <f>IF($C8=F$4,SUM($D26:F26),0)</f>
        <v>0</v>
      </c>
      <c r="G8" s="28">
        <f>IF($C8=G$4,SUM($D26:G26),0)</f>
        <v>0</v>
      </c>
      <c r="H8" s="28">
        <f>IF($C8=H$4,SUM($D26:H26),0)</f>
        <v>0</v>
      </c>
      <c r="I8" s="28">
        <f>IF($C8=I$4,SUM($D26:I26),0)</f>
        <v>0</v>
      </c>
      <c r="J8" s="28">
        <f>IF($C8=J$4,SUM($D26:J26),0)</f>
        <v>0</v>
      </c>
      <c r="K8" s="28">
        <f>IF($C8=K$4,SUM($D26:K26),0)</f>
        <v>0</v>
      </c>
      <c r="L8" s="28">
        <f>IF($C8=L$4,SUM($D26:L26),0)</f>
        <v>0</v>
      </c>
      <c r="M8" s="28">
        <f>IF($C8=M$4,SUM($D26:M26),0)</f>
        <v>0</v>
      </c>
      <c r="N8" s="28">
        <f>IF($C8=N$4,SUM($D26:N26),0)</f>
        <v>0</v>
      </c>
      <c r="O8" s="28">
        <f>IF($C8=O$4,SUM($D26:O26),0)</f>
        <v>0</v>
      </c>
      <c r="P8" s="28">
        <f>IF($C8=P$4,SUM($D26:P26),0)</f>
        <v>0</v>
      </c>
      <c r="Q8" s="28">
        <f>IF($C8=Q$4,SUM($D26:Q26),0)</f>
        <v>0</v>
      </c>
      <c r="R8" s="28">
        <f>IF($C8=R$4,SUM($D26:R26),0)</f>
        <v>0</v>
      </c>
      <c r="S8" s="28">
        <f>IF($C8=S$4,SUM($D26:S26),0)</f>
        <v>0</v>
      </c>
      <c r="T8" s="28">
        <f>IF($C8=T$4,SUM($D26:T26),0)</f>
        <v>0</v>
      </c>
      <c r="U8" s="28">
        <f>IF($C8=U$4,SUM($D26:U26),0)</f>
        <v>0</v>
      </c>
      <c r="V8" s="28">
        <f>IF($C8=V$4,SUM($D26:V26),0)</f>
        <v>0</v>
      </c>
      <c r="W8" s="28">
        <f>IF($C8=W$4,SUM($D26:W26),0)</f>
        <v>0</v>
      </c>
      <c r="X8" s="28">
        <f>IF($C8=X$4,SUM($D26:X26),0)</f>
        <v>0</v>
      </c>
      <c r="Y8" s="28">
        <f>IF($C8=Y$4,SUM($D26:Y26),0)</f>
        <v>0</v>
      </c>
      <c r="Z8" s="28">
        <f>IF($C8=Z$4,SUM($D26:Z26),0)</f>
        <v>0</v>
      </c>
      <c r="AA8" s="28">
        <f>IF($C8=AA$4,SUM($D26:AA26),0)</f>
        <v>0</v>
      </c>
      <c r="AB8" s="28">
        <f>IF($C8=AB$4,SUM($D26:AB26),0)</f>
        <v>0</v>
      </c>
      <c r="AC8" s="28">
        <f>IF($C8=AC$4,SUM($D26:AC26),0)</f>
        <v>0</v>
      </c>
      <c r="AD8" s="28">
        <f>IF($C8=AD$4,SUM($D26:AD26),0)</f>
        <v>0</v>
      </c>
      <c r="AE8" s="28">
        <f>IF($C8=AE$4,SUM($D26:AE26),0)</f>
        <v>0</v>
      </c>
      <c r="AF8" s="28">
        <f>IF($C8=AF$4,SUM($D26:AF26),0)</f>
        <v>0</v>
      </c>
      <c r="AG8" s="28">
        <f>IF($C8=AG$4,SUM($D26:AG26),0)</f>
        <v>0</v>
      </c>
      <c r="AH8" s="28">
        <f>IF($C8=AH$4,SUM($D26:AH26),0)</f>
        <v>0</v>
      </c>
      <c r="AI8" s="28">
        <f>IF($C8=AI$4,SUM($D26:AI26),0)</f>
        <v>0</v>
      </c>
      <c r="AJ8" s="28">
        <f>IF($C8=AJ$4,SUM($D26:AJ26),0)</f>
        <v>0</v>
      </c>
      <c r="AK8" s="28">
        <f>IF($C8=AK$4,SUM($D26:AK26),0)</f>
        <v>0</v>
      </c>
      <c r="AL8" s="28">
        <f>IF($C8=AL$4,SUM($D26:AL26),0)</f>
        <v>0</v>
      </c>
      <c r="AM8" s="28">
        <f>IF($C8=AM$4,SUM($D26:AM26),0)</f>
        <v>0</v>
      </c>
      <c r="AN8" s="28">
        <f>IF($C8=AN$4,SUM($D26:AN26),0)</f>
        <v>0</v>
      </c>
      <c r="AO8" s="28">
        <f>IF($C8=AO$4,SUM($D26:AO26),0)</f>
        <v>0</v>
      </c>
      <c r="AP8" s="28">
        <f>IF($C8=AP$4,SUM($D26:AP26),0)</f>
        <v>0</v>
      </c>
      <c r="AQ8" s="28">
        <f>IF($C8=AQ$4,SUM($D26:AQ26),0)</f>
        <v>0</v>
      </c>
    </row>
    <row r="9" spans="1:43">
      <c r="B9" s="25" t="str">
        <f>'Project Assumptions'!B26</f>
        <v>Capital Expenditure 2</v>
      </c>
      <c r="C9" s="330">
        <f>'Project Assumptions'!E26</f>
        <v>2018</v>
      </c>
      <c r="D9" s="28">
        <f>IF($C9=D$4,SUM($D27:D27),0)</f>
        <v>0</v>
      </c>
      <c r="E9" s="28">
        <f>IF($C9=E$4,SUM($D27:E27),0)</f>
        <v>0</v>
      </c>
      <c r="F9" s="28">
        <f>IF($C9=F$4,SUM($D27:F27),0)</f>
        <v>34855100.900200084</v>
      </c>
      <c r="G9" s="28">
        <f>IF($C9=G$4,SUM($D27:G27),0)</f>
        <v>0</v>
      </c>
      <c r="H9" s="28">
        <f>IF($C9=H$4,SUM($D27:H27),0)</f>
        <v>0</v>
      </c>
      <c r="I9" s="28">
        <f>IF($C9=I$4,SUM($D27:I27),0)</f>
        <v>0</v>
      </c>
      <c r="J9" s="28">
        <f>IF($C9=J$4,SUM($D27:J27),0)</f>
        <v>0</v>
      </c>
      <c r="K9" s="28">
        <f>IF($C9=K$4,SUM($D27:K27),0)</f>
        <v>0</v>
      </c>
      <c r="L9" s="28">
        <f>IF($C9=L$4,SUM($D27:L27),0)</f>
        <v>0</v>
      </c>
      <c r="M9" s="28">
        <f>IF($C9=M$4,SUM($D27:M27),0)</f>
        <v>0</v>
      </c>
      <c r="N9" s="28">
        <f>IF($C9=N$4,SUM($D27:N27),0)</f>
        <v>0</v>
      </c>
      <c r="O9" s="28">
        <f>IF($C9=O$4,SUM($D27:O27),0)</f>
        <v>0</v>
      </c>
      <c r="P9" s="28">
        <f>IF($C9=P$4,SUM($D27:P27),0)</f>
        <v>0</v>
      </c>
      <c r="Q9" s="28">
        <f>IF($C9=Q$4,SUM($D27:Q27),0)</f>
        <v>0</v>
      </c>
      <c r="R9" s="28">
        <f>IF($C9=R$4,SUM($D27:R27),0)</f>
        <v>0</v>
      </c>
      <c r="S9" s="28">
        <f>IF($C9=S$4,SUM($D27:S27),0)</f>
        <v>0</v>
      </c>
      <c r="T9" s="28">
        <f>IF($C9=T$4,SUM($D27:T27),0)</f>
        <v>0</v>
      </c>
      <c r="U9" s="28">
        <f>IF($C9=U$4,SUM($D27:U27),0)</f>
        <v>0</v>
      </c>
      <c r="V9" s="28">
        <f>IF($C9=V$4,SUM($D27:V27),0)</f>
        <v>0</v>
      </c>
      <c r="W9" s="28">
        <f>IF($C9=W$4,SUM($D27:W27),0)</f>
        <v>0</v>
      </c>
      <c r="X9" s="28">
        <f>IF($C9=X$4,SUM($D27:X27),0)</f>
        <v>0</v>
      </c>
      <c r="Y9" s="28">
        <f>IF($C9=Y$4,SUM($D27:Y27),0)</f>
        <v>0</v>
      </c>
      <c r="Z9" s="28">
        <f>IF($C9=Z$4,SUM($D27:Z27),0)</f>
        <v>0</v>
      </c>
      <c r="AA9" s="28">
        <f>IF($C9=AA$4,SUM($D27:AA27),0)</f>
        <v>0</v>
      </c>
      <c r="AB9" s="28">
        <f>IF($C9=AB$4,SUM($D27:AB27),0)</f>
        <v>0</v>
      </c>
      <c r="AC9" s="28">
        <f>IF($C9=AC$4,SUM($D27:AC27),0)</f>
        <v>0</v>
      </c>
      <c r="AD9" s="28">
        <f>IF($C9=AD$4,SUM($D27:AD27),0)</f>
        <v>0</v>
      </c>
      <c r="AE9" s="28">
        <f>IF($C9=AE$4,SUM($D27:AE27),0)</f>
        <v>0</v>
      </c>
      <c r="AF9" s="28">
        <f>IF($C9=AF$4,SUM($D27:AF27),0)</f>
        <v>0</v>
      </c>
      <c r="AG9" s="28">
        <f>IF($C9=AG$4,SUM($D27:AG27),0)</f>
        <v>0</v>
      </c>
      <c r="AH9" s="28">
        <f>IF($C9=AH$4,SUM($D27:AH27),0)</f>
        <v>0</v>
      </c>
      <c r="AI9" s="28">
        <f>IF($C9=AI$4,SUM($D27:AI27),0)</f>
        <v>0</v>
      </c>
      <c r="AJ9" s="28">
        <f>IF($C9=AJ$4,SUM($D27:AJ27),0)</f>
        <v>0</v>
      </c>
      <c r="AK9" s="28">
        <f>IF($C9=AK$4,SUM($D27:AK27),0)</f>
        <v>0</v>
      </c>
      <c r="AL9" s="28">
        <f>IF($C9=AL$4,SUM($D27:AL27),0)</f>
        <v>0</v>
      </c>
      <c r="AM9" s="28">
        <f>IF($C9=AM$4,SUM($D27:AM27),0)</f>
        <v>0</v>
      </c>
      <c r="AN9" s="28">
        <f>IF($C9=AN$4,SUM($D27:AN27),0)</f>
        <v>0</v>
      </c>
      <c r="AO9" s="28">
        <f>IF($C9=AO$4,SUM($D27:AO27),0)</f>
        <v>0</v>
      </c>
      <c r="AP9" s="28">
        <f>IF($C9=AP$4,SUM($D27:AP27),0)</f>
        <v>0</v>
      </c>
      <c r="AQ9" s="28">
        <f>IF($C9=AQ$4,SUM($D27:AQ27),0)</f>
        <v>0</v>
      </c>
    </row>
    <row r="10" spans="1:43">
      <c r="B10" s="25" t="str">
        <f>'Project Assumptions'!B27</f>
        <v>Capital Expenditure 3</v>
      </c>
      <c r="C10" s="329">
        <f>'Project Assumptions'!E27</f>
        <v>2019</v>
      </c>
      <c r="D10" s="28">
        <f>IF($C10=D$4,SUM($D28:D28),0)</f>
        <v>0</v>
      </c>
      <c r="E10" s="28">
        <f>IF($C10=E$4,SUM($D28:E28),0)</f>
        <v>0</v>
      </c>
      <c r="F10" s="28">
        <f>IF($C10=F$4,SUM($D28:F28),0)</f>
        <v>0</v>
      </c>
      <c r="G10" s="28">
        <f>IF($C10=G$4,SUM($D28:G28),0)</f>
        <v>82664052.300202608</v>
      </c>
      <c r="H10" s="28">
        <f>IF($C10=H$4,SUM($D28:H28),0)</f>
        <v>0</v>
      </c>
      <c r="I10" s="28">
        <f>IF($C10=I$4,SUM($D28:I28),0)</f>
        <v>0</v>
      </c>
      <c r="J10" s="28">
        <f>IF($C10=J$4,SUM($D28:J28),0)</f>
        <v>0</v>
      </c>
      <c r="K10" s="28">
        <f>IF($C10=K$4,SUM($D28:K28),0)</f>
        <v>0</v>
      </c>
      <c r="L10" s="28">
        <f>IF($C10=L$4,SUM($D28:L28),0)</f>
        <v>0</v>
      </c>
      <c r="M10" s="28">
        <f>IF($C10=M$4,SUM($D28:M28),0)</f>
        <v>0</v>
      </c>
      <c r="N10" s="28">
        <f>IF($C10=N$4,SUM($D28:N28),0)</f>
        <v>0</v>
      </c>
      <c r="O10" s="28">
        <f>IF($C10=O$4,SUM($D28:O28),0)</f>
        <v>0</v>
      </c>
      <c r="P10" s="28">
        <f>IF($C10=P$4,SUM($D28:P28),0)</f>
        <v>0</v>
      </c>
      <c r="Q10" s="28">
        <f>IF($C10=Q$4,SUM($D28:Q28),0)</f>
        <v>0</v>
      </c>
      <c r="R10" s="28">
        <f>IF($C10=R$4,SUM($D28:R28),0)</f>
        <v>0</v>
      </c>
      <c r="S10" s="28">
        <f>IF($C10=S$4,SUM($D28:S28),0)</f>
        <v>0</v>
      </c>
      <c r="T10" s="28">
        <f>IF($C10=T$4,SUM($D28:T28),0)</f>
        <v>0</v>
      </c>
      <c r="U10" s="28">
        <f>IF($C10=U$4,SUM($D28:U28),0)</f>
        <v>0</v>
      </c>
      <c r="V10" s="28">
        <f>IF($C10=V$4,SUM($D28:V28),0)</f>
        <v>0</v>
      </c>
      <c r="W10" s="28">
        <f>IF($C10=W$4,SUM($D28:W28),0)</f>
        <v>0</v>
      </c>
      <c r="X10" s="28">
        <f>IF($C10=X$4,SUM($D28:X28),0)</f>
        <v>0</v>
      </c>
      <c r="Y10" s="28">
        <f>IF($C10=Y$4,SUM($D28:Y28),0)</f>
        <v>0</v>
      </c>
      <c r="Z10" s="28">
        <f>IF($C10=Z$4,SUM($D28:Z28),0)</f>
        <v>0</v>
      </c>
      <c r="AA10" s="28">
        <f>IF($C10=AA$4,SUM($D28:AA28),0)</f>
        <v>0</v>
      </c>
      <c r="AB10" s="28">
        <f>IF($C10=AB$4,SUM($D28:AB28),0)</f>
        <v>0</v>
      </c>
      <c r="AC10" s="28">
        <f>IF($C10=AC$4,SUM($D28:AC28),0)</f>
        <v>0</v>
      </c>
      <c r="AD10" s="28">
        <f>IF($C10=AD$4,SUM($D28:AD28),0)</f>
        <v>0</v>
      </c>
      <c r="AE10" s="28">
        <f>IF($C10=AE$4,SUM($D28:AE28),0)</f>
        <v>0</v>
      </c>
      <c r="AF10" s="28">
        <f>IF($C10=AF$4,SUM($D28:AF28),0)</f>
        <v>0</v>
      </c>
      <c r="AG10" s="28">
        <f>IF($C10=AG$4,SUM($D28:AG28),0)</f>
        <v>0</v>
      </c>
      <c r="AH10" s="28">
        <f>IF($C10=AH$4,SUM($D28:AH28),0)</f>
        <v>0</v>
      </c>
      <c r="AI10" s="28">
        <f>IF($C10=AI$4,SUM($D28:AI28),0)</f>
        <v>0</v>
      </c>
      <c r="AJ10" s="28">
        <f>IF($C10=AJ$4,SUM($D28:AJ28),0)</f>
        <v>0</v>
      </c>
      <c r="AK10" s="28">
        <f>IF($C10=AK$4,SUM($D28:AK28),0)</f>
        <v>0</v>
      </c>
      <c r="AL10" s="28">
        <f>IF($C10=AL$4,SUM($D28:AL28),0)</f>
        <v>0</v>
      </c>
      <c r="AM10" s="28">
        <f>IF($C10=AM$4,SUM($D28:AM28),0)</f>
        <v>0</v>
      </c>
      <c r="AN10" s="28">
        <f>IF($C10=AN$4,SUM($D28:AN28),0)</f>
        <v>0</v>
      </c>
      <c r="AO10" s="28">
        <f>IF($C10=AO$4,SUM($D28:AO28),0)</f>
        <v>0</v>
      </c>
      <c r="AP10" s="28">
        <f>IF($C10=AP$4,SUM($D28:AP28),0)</f>
        <v>0</v>
      </c>
      <c r="AQ10" s="28">
        <f>IF($C10=AQ$4,SUM($D28:AQ28),0)</f>
        <v>0</v>
      </c>
    </row>
    <row r="11" spans="1:43">
      <c r="B11" s="25" t="str">
        <f>'Project Assumptions'!B28</f>
        <v xml:space="preserve">Capital Expenditure 4 </v>
      </c>
      <c r="C11" s="329">
        <f>'Project Assumptions'!E28</f>
        <v>2020</v>
      </c>
      <c r="D11" s="28">
        <f>IF($C11=D$4,SUM($D29:D29),0)</f>
        <v>0</v>
      </c>
      <c r="E11" s="28">
        <f>IF($C11=E$4,SUM($D29:E29),0)</f>
        <v>0</v>
      </c>
      <c r="F11" s="28">
        <f>IF($C11=F$4,SUM($D29:F29),0)</f>
        <v>0</v>
      </c>
      <c r="G11" s="28">
        <f>IF($C11=G$4,SUM($D29:G29),0)</f>
        <v>0</v>
      </c>
      <c r="H11" s="28">
        <f>IF($C11=H$4,SUM($D29:H29),0)</f>
        <v>68499340.457383499</v>
      </c>
      <c r="I11" s="28">
        <f>IF($C11=I$4,SUM($D29:I29),0)</f>
        <v>0</v>
      </c>
      <c r="J11" s="28">
        <f>IF($C11=J$4,SUM($D29:J29),0)</f>
        <v>0</v>
      </c>
      <c r="K11" s="28">
        <f>IF($C11=K$4,SUM($D29:K29),0)</f>
        <v>0</v>
      </c>
      <c r="L11" s="28">
        <f>IF($C11=L$4,SUM($D29:L29),0)</f>
        <v>0</v>
      </c>
      <c r="M11" s="28">
        <f>IF($C11=M$4,SUM($D29:M29),0)</f>
        <v>0</v>
      </c>
      <c r="N11" s="28">
        <f>IF($C11=N$4,SUM($D29:N29),0)</f>
        <v>0</v>
      </c>
      <c r="O11" s="28">
        <f>IF($C11=O$4,SUM($D29:O29),0)</f>
        <v>0</v>
      </c>
      <c r="P11" s="28">
        <f>IF($C11=P$4,SUM($D29:P29),0)</f>
        <v>0</v>
      </c>
      <c r="Q11" s="28">
        <f>IF($C11=Q$4,SUM($D29:Q29),0)</f>
        <v>0</v>
      </c>
      <c r="R11" s="28">
        <f>IF($C11=R$4,SUM($D29:R29),0)</f>
        <v>0</v>
      </c>
      <c r="S11" s="28">
        <f>IF($C11=S$4,SUM($D29:S29),0)</f>
        <v>0</v>
      </c>
      <c r="T11" s="28">
        <f>IF($C11=T$4,SUM($D29:T29),0)</f>
        <v>0</v>
      </c>
      <c r="U11" s="28">
        <f>IF($C11=U$4,SUM($D29:U29),0)</f>
        <v>0</v>
      </c>
      <c r="V11" s="28">
        <f>IF($C11=V$4,SUM($D29:V29),0)</f>
        <v>0</v>
      </c>
      <c r="W11" s="28">
        <f>IF($C11=W$4,SUM($D29:W29),0)</f>
        <v>0</v>
      </c>
      <c r="X11" s="28">
        <f>IF($C11=X$4,SUM($D29:X29),0)</f>
        <v>0</v>
      </c>
      <c r="Y11" s="28">
        <f>IF($C11=Y$4,SUM($D29:Y29),0)</f>
        <v>0</v>
      </c>
      <c r="Z11" s="28">
        <f>IF($C11=Z$4,SUM($D29:Z29),0)</f>
        <v>0</v>
      </c>
      <c r="AA11" s="28">
        <f>IF($C11=AA$4,SUM($D29:AA29),0)</f>
        <v>0</v>
      </c>
      <c r="AB11" s="28">
        <f>IF($C11=AB$4,SUM($D29:AB29),0)</f>
        <v>0</v>
      </c>
      <c r="AC11" s="28">
        <f>IF($C11=AC$4,SUM($D29:AC29),0)</f>
        <v>0</v>
      </c>
      <c r="AD11" s="28">
        <f>IF($C11=AD$4,SUM($D29:AD29),0)</f>
        <v>0</v>
      </c>
      <c r="AE11" s="28">
        <f>IF($C11=AE$4,SUM($D29:AE29),0)</f>
        <v>0</v>
      </c>
      <c r="AF11" s="28">
        <f>IF($C11=AF$4,SUM($D29:AF29),0)</f>
        <v>0</v>
      </c>
      <c r="AG11" s="28">
        <f>IF($C11=AG$4,SUM($D29:AG29),0)</f>
        <v>0</v>
      </c>
      <c r="AH11" s="28">
        <f>IF($C11=AH$4,SUM($D29:AH29),0)</f>
        <v>0</v>
      </c>
      <c r="AI11" s="28">
        <f>IF($C11=AI$4,SUM($D29:AI29),0)</f>
        <v>0</v>
      </c>
      <c r="AJ11" s="28">
        <f>IF($C11=AJ$4,SUM($D29:AJ29),0)</f>
        <v>0</v>
      </c>
      <c r="AK11" s="28">
        <f>IF($C11=AK$4,SUM($D29:AK29),0)</f>
        <v>0</v>
      </c>
      <c r="AL11" s="28">
        <f>IF($C11=AL$4,SUM($D29:AL29),0)</f>
        <v>0</v>
      </c>
      <c r="AM11" s="28">
        <f>IF($C11=AM$4,SUM($D29:AM29),0)</f>
        <v>0</v>
      </c>
      <c r="AN11" s="28">
        <f>IF($C11=AN$4,SUM($D29:AN29),0)</f>
        <v>0</v>
      </c>
      <c r="AO11" s="28">
        <f>IF($C11=AO$4,SUM($D29:AO29),0)</f>
        <v>0</v>
      </c>
      <c r="AP11" s="28">
        <f>IF($C11=AP$4,SUM($D29:AP29),0)</f>
        <v>0</v>
      </c>
      <c r="AQ11" s="28">
        <f>IF($C11=AQ$4,SUM($D29:AQ29),0)</f>
        <v>0</v>
      </c>
    </row>
    <row r="12" spans="1:43">
      <c r="A12" s="50"/>
      <c r="B12" s="25" t="str">
        <f>'Project Assumptions'!B29</f>
        <v xml:space="preserve">Capital Expenditure 5 </v>
      </c>
      <c r="C12" s="329">
        <f>'Project Assumptions'!E29</f>
        <v>2021</v>
      </c>
      <c r="D12" s="28">
        <f>IF($C12=D$4,SUM($D30:D30),0)</f>
        <v>0</v>
      </c>
      <c r="E12" s="28">
        <f>IF($C12=E$4,SUM($D30:E30),0)</f>
        <v>0</v>
      </c>
      <c r="F12" s="28">
        <f>IF($C12=F$4,SUM($D30:F30),0)</f>
        <v>0</v>
      </c>
      <c r="G12" s="28">
        <f>IF($C12=G$4,SUM($D30:G30),0)</f>
        <v>0</v>
      </c>
      <c r="H12" s="28">
        <f>IF($C12=H$4,SUM($D30:H30),0)</f>
        <v>0</v>
      </c>
      <c r="I12" s="28">
        <f>IF($C12=I$4,SUM($D30:I30),0)</f>
        <v>70897891.830320135</v>
      </c>
      <c r="J12" s="28">
        <f>IF($C12=J$4,SUM($D30:J30),0)</f>
        <v>0</v>
      </c>
      <c r="K12" s="28">
        <f>IF($C12=K$4,SUM($D30:K30),0)</f>
        <v>0</v>
      </c>
      <c r="L12" s="28">
        <f>IF($C12=L$4,SUM($D30:L30),0)</f>
        <v>0</v>
      </c>
      <c r="M12" s="28">
        <f>IF($C12=M$4,SUM($D30:M30),0)</f>
        <v>0</v>
      </c>
      <c r="N12" s="28">
        <f>IF($C12=N$4,SUM($D30:N30),0)</f>
        <v>0</v>
      </c>
      <c r="O12" s="28">
        <f>IF($C12=O$4,SUM($D30:O30),0)</f>
        <v>0</v>
      </c>
      <c r="P12" s="28">
        <f>IF($C12=P$4,SUM($D30:P30),0)</f>
        <v>0</v>
      </c>
      <c r="Q12" s="28">
        <f>IF($C12=Q$4,SUM($D30:Q30),0)</f>
        <v>0</v>
      </c>
      <c r="R12" s="28">
        <f>IF($C12=R$4,SUM($D30:R30),0)</f>
        <v>0</v>
      </c>
      <c r="S12" s="28">
        <f>IF($C12=S$4,SUM($D30:S30),0)</f>
        <v>0</v>
      </c>
      <c r="T12" s="28">
        <f>IF($C12=T$4,SUM($D30:T30),0)</f>
        <v>0</v>
      </c>
      <c r="U12" s="28">
        <f>IF($C12=U$4,SUM($D30:U30),0)</f>
        <v>0</v>
      </c>
      <c r="V12" s="28">
        <f>IF($C12=V$4,SUM($D30:V30),0)</f>
        <v>0</v>
      </c>
      <c r="W12" s="28">
        <f>IF($C12=W$4,SUM($D30:W30),0)</f>
        <v>0</v>
      </c>
      <c r="X12" s="28">
        <f>IF($C12=X$4,SUM($D30:X30),0)</f>
        <v>0</v>
      </c>
      <c r="Y12" s="28">
        <f>IF($C12=Y$4,SUM($D30:Y30),0)</f>
        <v>0</v>
      </c>
      <c r="Z12" s="28">
        <f>IF($C12=Z$4,SUM($D30:Z30),0)</f>
        <v>0</v>
      </c>
      <c r="AA12" s="28">
        <f>IF($C12=AA$4,SUM($D30:AA30),0)</f>
        <v>0</v>
      </c>
      <c r="AB12" s="28">
        <f>IF($C12=AB$4,SUM($D30:AB30),0)</f>
        <v>0</v>
      </c>
      <c r="AC12" s="28">
        <f>IF($C12=AC$4,SUM($D30:AC30),0)</f>
        <v>0</v>
      </c>
      <c r="AD12" s="28">
        <f>IF($C12=AD$4,SUM($D30:AD30),0)</f>
        <v>0</v>
      </c>
      <c r="AE12" s="28">
        <f>IF($C12=AE$4,SUM($D30:AE30),0)</f>
        <v>0</v>
      </c>
      <c r="AF12" s="28">
        <f>IF($C12=AF$4,SUM($D30:AF30),0)</f>
        <v>0</v>
      </c>
      <c r="AG12" s="28">
        <f>IF($C12=AG$4,SUM($D30:AG30),0)</f>
        <v>0</v>
      </c>
      <c r="AH12" s="28">
        <f>IF($C12=AH$4,SUM($D30:AH30),0)</f>
        <v>0</v>
      </c>
      <c r="AI12" s="28">
        <f>IF($C12=AI$4,SUM($D30:AI30),0)</f>
        <v>0</v>
      </c>
      <c r="AJ12" s="28">
        <f>IF($C12=AJ$4,SUM($D30:AJ30),0)</f>
        <v>0</v>
      </c>
      <c r="AK12" s="28">
        <f>IF($C12=AK$4,SUM($D30:AK30),0)</f>
        <v>0</v>
      </c>
      <c r="AL12" s="28">
        <f>IF($C12=AL$4,SUM($D30:AL30),0)</f>
        <v>0</v>
      </c>
      <c r="AM12" s="28">
        <f>IF($C12=AM$4,SUM($D30:AM30),0)</f>
        <v>0</v>
      </c>
      <c r="AN12" s="28">
        <f>IF($C12=AN$4,SUM($D30:AN30),0)</f>
        <v>0</v>
      </c>
      <c r="AO12" s="28">
        <f>IF($C12=AO$4,SUM($D30:AO30),0)</f>
        <v>0</v>
      </c>
      <c r="AP12" s="28">
        <f>IF($C12=AP$4,SUM($D30:AP30),0)</f>
        <v>0</v>
      </c>
      <c r="AQ12" s="28">
        <f>IF($C12=AQ$4,SUM($D30:AQ30),0)</f>
        <v>0</v>
      </c>
    </row>
    <row r="13" spans="1:43">
      <c r="B13" s="25" t="str">
        <f>'Project Assumptions'!B30</f>
        <v xml:space="preserve">Capital Expenditure 6 </v>
      </c>
      <c r="C13" s="329">
        <f>'Project Assumptions'!E30</f>
        <v>2022</v>
      </c>
      <c r="D13" s="28">
        <f>IF($C13=D$4,SUM($D31:D31),0)</f>
        <v>0</v>
      </c>
      <c r="E13" s="28">
        <f>IF($C13=E$4,SUM($D31:E31),0)</f>
        <v>0</v>
      </c>
      <c r="F13" s="28">
        <f>IF($C13=F$4,SUM($D31:F31),0)</f>
        <v>0</v>
      </c>
      <c r="G13" s="28">
        <f>IF($C13=G$4,SUM($D31:G31),0)</f>
        <v>0</v>
      </c>
      <c r="H13" s="28">
        <f>IF($C13=H$4,SUM($D31:H31),0)</f>
        <v>0</v>
      </c>
      <c r="I13" s="28">
        <f>IF($C13=I$4,SUM($D31:I31),0)</f>
        <v>0</v>
      </c>
      <c r="J13" s="28">
        <f>IF($C13=J$4,SUM($D31:J31),0)</f>
        <v>73024828.58522974</v>
      </c>
      <c r="K13" s="28">
        <f>IF($C13=K$4,SUM($D31:K31),0)</f>
        <v>0</v>
      </c>
      <c r="L13" s="28">
        <f>IF($C13=L$4,SUM($D31:L31),0)</f>
        <v>0</v>
      </c>
      <c r="M13" s="28">
        <f>IF($C13=M$4,SUM($D31:M31),0)</f>
        <v>0</v>
      </c>
      <c r="N13" s="28">
        <f>IF($C13=N$4,SUM($D31:N31),0)</f>
        <v>0</v>
      </c>
      <c r="O13" s="28">
        <f>IF($C13=O$4,SUM($D31:O31),0)</f>
        <v>0</v>
      </c>
      <c r="P13" s="28">
        <f>IF($C13=P$4,SUM($D31:P31),0)</f>
        <v>0</v>
      </c>
      <c r="Q13" s="28">
        <f>IF($C13=Q$4,SUM($D31:Q31),0)</f>
        <v>0</v>
      </c>
      <c r="R13" s="28">
        <f>IF($C13=R$4,SUM($D31:R31),0)</f>
        <v>0</v>
      </c>
      <c r="S13" s="28">
        <f>IF($C13=S$4,SUM($D31:S31),0)</f>
        <v>0</v>
      </c>
      <c r="T13" s="28">
        <f>IF($C13=T$4,SUM($D31:T31),0)</f>
        <v>0</v>
      </c>
      <c r="U13" s="28">
        <f>IF($C13=U$4,SUM($D31:U31),0)</f>
        <v>0</v>
      </c>
      <c r="V13" s="28">
        <f>IF($C13=V$4,SUM($D31:V31),0)</f>
        <v>0</v>
      </c>
      <c r="W13" s="28">
        <f>IF($C13=W$4,SUM($D31:W31),0)</f>
        <v>0</v>
      </c>
      <c r="X13" s="28">
        <f>IF($C13=X$4,SUM($D31:X31),0)</f>
        <v>0</v>
      </c>
      <c r="Y13" s="28">
        <f>IF($C13=Y$4,SUM($D31:Y31),0)</f>
        <v>0</v>
      </c>
      <c r="Z13" s="28">
        <f>IF($C13=Z$4,SUM($D31:Z31),0)</f>
        <v>0</v>
      </c>
      <c r="AA13" s="28">
        <f>IF($C13=AA$4,SUM($D31:AA31),0)</f>
        <v>0</v>
      </c>
      <c r="AB13" s="28">
        <f>IF($C13=AB$4,SUM($D31:AB31),0)</f>
        <v>0</v>
      </c>
      <c r="AC13" s="28">
        <f>IF($C13=AC$4,SUM($D31:AC31),0)</f>
        <v>0</v>
      </c>
      <c r="AD13" s="28">
        <f>IF($C13=AD$4,SUM($D31:AD31),0)</f>
        <v>0</v>
      </c>
      <c r="AE13" s="28">
        <f>IF($C13=AE$4,SUM($D31:AE31),0)</f>
        <v>0</v>
      </c>
      <c r="AF13" s="28">
        <f>IF($C13=AF$4,SUM($D31:AF31),0)</f>
        <v>0</v>
      </c>
      <c r="AG13" s="28">
        <f>IF($C13=AG$4,SUM($D31:AG31),0)</f>
        <v>0</v>
      </c>
      <c r="AH13" s="28">
        <f>IF($C13=AH$4,SUM($D31:AH31),0)</f>
        <v>0</v>
      </c>
      <c r="AI13" s="28">
        <f>IF($C13=AI$4,SUM($D31:AI31),0)</f>
        <v>0</v>
      </c>
      <c r="AJ13" s="28">
        <f>IF($C13=AJ$4,SUM($D31:AJ31),0)</f>
        <v>0</v>
      </c>
      <c r="AK13" s="28">
        <f>IF($C13=AK$4,SUM($D31:AK31),0)</f>
        <v>0</v>
      </c>
      <c r="AL13" s="28">
        <f>IF($C13=AL$4,SUM($D31:AL31),0)</f>
        <v>0</v>
      </c>
      <c r="AM13" s="28">
        <f>IF($C13=AM$4,SUM($D31:AM31),0)</f>
        <v>0</v>
      </c>
      <c r="AN13" s="28">
        <f>IF($C13=AN$4,SUM($D31:AN31),0)</f>
        <v>0</v>
      </c>
      <c r="AO13" s="28">
        <f>IF($C13=AO$4,SUM($D31:AO31),0)</f>
        <v>0</v>
      </c>
      <c r="AP13" s="28">
        <f>IF($C13=AP$4,SUM($D31:AP31),0)</f>
        <v>0</v>
      </c>
      <c r="AQ13" s="28">
        <f>IF($C13=AQ$4,SUM($D31:AQ31),0)</f>
        <v>0</v>
      </c>
    </row>
    <row r="14" spans="1:43">
      <c r="A14" s="50"/>
      <c r="B14" s="25" t="str">
        <f>'Project Assumptions'!B31</f>
        <v>Capital Expenditure 7</v>
      </c>
      <c r="C14" s="329">
        <f>'Project Assumptions'!E31</f>
        <v>2023</v>
      </c>
      <c r="D14" s="28">
        <f>IF($C14=D$4,SUM($D32:D32),0)</f>
        <v>0</v>
      </c>
      <c r="E14" s="28">
        <f>IF($C14=E$4,SUM($D32:E32),0)</f>
        <v>0</v>
      </c>
      <c r="F14" s="28">
        <f>IF($C14=F$4,SUM($D32:F32),0)</f>
        <v>0</v>
      </c>
      <c r="G14" s="28">
        <f>IF($C14=G$4,SUM($D32:G32),0)</f>
        <v>0</v>
      </c>
      <c r="H14" s="28">
        <f>IF($C14=H$4,SUM($D32:H32),0)</f>
        <v>0</v>
      </c>
      <c r="I14" s="28">
        <f>IF($C14=I$4,SUM($D32:I32),0)</f>
        <v>0</v>
      </c>
      <c r="J14" s="28">
        <f>IF($C14=J$4,SUM($D32:J32),0)</f>
        <v>0</v>
      </c>
      <c r="K14" s="28">
        <f>IF($C14=K$4,SUM($D32:K32),0)</f>
        <v>75215573.442786634</v>
      </c>
      <c r="L14" s="28">
        <f>IF($C14=L$4,SUM($D32:L32),0)</f>
        <v>0</v>
      </c>
      <c r="M14" s="28">
        <f>IF($C14=M$4,SUM($D32:M32),0)</f>
        <v>0</v>
      </c>
      <c r="N14" s="28">
        <f>IF($C14=N$4,SUM($D32:N32),0)</f>
        <v>0</v>
      </c>
      <c r="O14" s="28">
        <f>IF($C14=O$4,SUM($D32:O32),0)</f>
        <v>0</v>
      </c>
      <c r="P14" s="28">
        <f>IF($C14=P$4,SUM($D32:P32),0)</f>
        <v>0</v>
      </c>
      <c r="Q14" s="28">
        <f>IF($C14=Q$4,SUM($D32:Q32),0)</f>
        <v>0</v>
      </c>
      <c r="R14" s="28">
        <f>IF($C14=R$4,SUM($D32:R32),0)</f>
        <v>0</v>
      </c>
      <c r="S14" s="28">
        <f>IF($C14=S$4,SUM($D32:S32),0)</f>
        <v>0</v>
      </c>
      <c r="T14" s="28">
        <f>IF($C14=T$4,SUM($D32:T32),0)</f>
        <v>0</v>
      </c>
      <c r="U14" s="28">
        <f>IF($C14=U$4,SUM($D32:U32),0)</f>
        <v>0</v>
      </c>
      <c r="V14" s="28">
        <f>IF($C14=V$4,SUM($D32:V32),0)</f>
        <v>0</v>
      </c>
      <c r="W14" s="28">
        <f>IF($C14=W$4,SUM($D32:W32),0)</f>
        <v>0</v>
      </c>
      <c r="X14" s="28">
        <f>IF($C14=X$4,SUM($D32:X32),0)</f>
        <v>0</v>
      </c>
      <c r="Y14" s="28">
        <f>IF($C14=Y$4,SUM($D32:Y32),0)</f>
        <v>0</v>
      </c>
      <c r="Z14" s="28">
        <f>IF($C14=Z$4,SUM($D32:Z32),0)</f>
        <v>0</v>
      </c>
      <c r="AA14" s="28">
        <f>IF($C14=AA$4,SUM($D32:AA32),0)</f>
        <v>0</v>
      </c>
      <c r="AB14" s="28">
        <f>IF($C14=AB$4,SUM($D32:AB32),0)</f>
        <v>0</v>
      </c>
      <c r="AC14" s="28">
        <f>IF($C14=AC$4,SUM($D32:AC32),0)</f>
        <v>0</v>
      </c>
      <c r="AD14" s="28">
        <f>IF($C14=AD$4,SUM($D32:AD32),0)</f>
        <v>0</v>
      </c>
      <c r="AE14" s="28">
        <f>IF($C14=AE$4,SUM($D32:AE32),0)</f>
        <v>0</v>
      </c>
      <c r="AF14" s="28">
        <f>IF($C14=AF$4,SUM($D32:AF32),0)</f>
        <v>0</v>
      </c>
      <c r="AG14" s="28">
        <f>IF($C14=AG$4,SUM($D32:AG32),0)</f>
        <v>0</v>
      </c>
      <c r="AH14" s="28">
        <f>IF($C14=AH$4,SUM($D32:AH32),0)</f>
        <v>0</v>
      </c>
      <c r="AI14" s="28">
        <f>IF($C14=AI$4,SUM($D32:AI32),0)</f>
        <v>0</v>
      </c>
      <c r="AJ14" s="28">
        <f>IF($C14=AJ$4,SUM($D32:AJ32),0)</f>
        <v>0</v>
      </c>
      <c r="AK14" s="28">
        <f>IF($C14=AK$4,SUM($D32:AK32),0)</f>
        <v>0</v>
      </c>
      <c r="AL14" s="28">
        <f>IF($C14=AL$4,SUM($D32:AL32),0)</f>
        <v>0</v>
      </c>
      <c r="AM14" s="28">
        <f>IF($C14=AM$4,SUM($D32:AM32),0)</f>
        <v>0</v>
      </c>
      <c r="AN14" s="28">
        <f>IF($C14=AN$4,SUM($D32:AN32),0)</f>
        <v>0</v>
      </c>
      <c r="AO14" s="28">
        <f>IF($C14=AO$4,SUM($D32:AO32),0)</f>
        <v>0</v>
      </c>
      <c r="AP14" s="28">
        <f>IF($C14=AP$4,SUM($D32:AP32),0)</f>
        <v>0</v>
      </c>
      <c r="AQ14" s="28">
        <f>IF($C14=AQ$4,SUM($D32:AQ32),0)</f>
        <v>0</v>
      </c>
    </row>
    <row r="15" spans="1:43">
      <c r="B15" s="25" t="str">
        <f>'Project Assumptions'!B32</f>
        <v>Capital Expenditure 8</v>
      </c>
      <c r="C15" s="329">
        <f>'Project Assumptions'!E32</f>
        <v>2024</v>
      </c>
      <c r="D15" s="28">
        <f>IF($C15=D$4,SUM($D33:D33),0)</f>
        <v>0</v>
      </c>
      <c r="E15" s="28">
        <f>IF($C15=E$4,SUM($D33:E33),0)</f>
        <v>0</v>
      </c>
      <c r="F15" s="28">
        <f>IF($C15=F$4,SUM($D33:F33),0)</f>
        <v>0</v>
      </c>
      <c r="G15" s="28">
        <f>IF($C15=G$4,SUM($D33:G33),0)</f>
        <v>0</v>
      </c>
      <c r="H15" s="28">
        <f>IF($C15=H$4,SUM($D33:H33),0)</f>
        <v>0</v>
      </c>
      <c r="I15" s="28">
        <f>IF($C15=I$4,SUM($D33:I33),0)</f>
        <v>0</v>
      </c>
      <c r="J15" s="28">
        <f>IF($C15=J$4,SUM($D33:J33),0)</f>
        <v>0</v>
      </c>
      <c r="K15" s="28">
        <f>IF($C15=K$4,SUM($D33:K33),0)</f>
        <v>0</v>
      </c>
      <c r="L15" s="28">
        <f>IF($C15=L$4,SUM($D33:L33),0)</f>
        <v>64985850.289360598</v>
      </c>
      <c r="M15" s="28">
        <f>IF($C15=M$4,SUM($D33:M33),0)</f>
        <v>0</v>
      </c>
      <c r="N15" s="28">
        <f>IF($C15=N$4,SUM($D33:N33),0)</f>
        <v>0</v>
      </c>
      <c r="O15" s="28">
        <f>IF($C15=O$4,SUM($D33:O33),0)</f>
        <v>0</v>
      </c>
      <c r="P15" s="28">
        <f>IF($C15=P$4,SUM($D33:P33),0)</f>
        <v>0</v>
      </c>
      <c r="Q15" s="28">
        <f>IF($C15=Q$4,SUM($D33:Q33),0)</f>
        <v>0</v>
      </c>
      <c r="R15" s="28">
        <f>IF($C15=R$4,SUM($D33:R33),0)</f>
        <v>0</v>
      </c>
      <c r="S15" s="28">
        <f>IF($C15=S$4,SUM($D33:S33),0)</f>
        <v>0</v>
      </c>
      <c r="T15" s="28">
        <f>IF($C15=T$4,SUM($D33:T33),0)</f>
        <v>0</v>
      </c>
      <c r="U15" s="28">
        <f>IF($C15=U$4,SUM($D33:U33),0)</f>
        <v>0</v>
      </c>
      <c r="V15" s="28">
        <f>IF($C15=V$4,SUM($D33:V33),0)</f>
        <v>0</v>
      </c>
      <c r="W15" s="28">
        <f>IF($C15=W$4,SUM($D33:W33),0)</f>
        <v>0</v>
      </c>
      <c r="X15" s="28">
        <f>IF($C15=X$4,SUM($D33:X33),0)</f>
        <v>0</v>
      </c>
      <c r="Y15" s="28">
        <f>IF($C15=Y$4,SUM($D33:Y33),0)</f>
        <v>0</v>
      </c>
      <c r="Z15" s="28">
        <f>IF($C15=Z$4,SUM($D33:Z33),0)</f>
        <v>0</v>
      </c>
      <c r="AA15" s="28">
        <f>IF($C15=AA$4,SUM($D33:AA33),0)</f>
        <v>0</v>
      </c>
      <c r="AB15" s="28">
        <f>IF($C15=AB$4,SUM($D33:AB33),0)</f>
        <v>0</v>
      </c>
      <c r="AC15" s="28">
        <f>IF($C15=AC$4,SUM($D33:AC33),0)</f>
        <v>0</v>
      </c>
      <c r="AD15" s="28">
        <f>IF($C15=AD$4,SUM($D33:AD33),0)</f>
        <v>0</v>
      </c>
      <c r="AE15" s="28">
        <f>IF($C15=AE$4,SUM($D33:AE33),0)</f>
        <v>0</v>
      </c>
      <c r="AF15" s="28">
        <f>IF($C15=AF$4,SUM($D33:AF33),0)</f>
        <v>0</v>
      </c>
      <c r="AG15" s="28">
        <f>IF($C15=AG$4,SUM($D33:AG33),0)</f>
        <v>0</v>
      </c>
      <c r="AH15" s="28">
        <f>IF($C15=AH$4,SUM($D33:AH33),0)</f>
        <v>0</v>
      </c>
      <c r="AI15" s="28">
        <f>IF($C15=AI$4,SUM($D33:AI33),0)</f>
        <v>0</v>
      </c>
      <c r="AJ15" s="28">
        <f>IF($C15=AJ$4,SUM($D33:AJ33),0)</f>
        <v>0</v>
      </c>
      <c r="AK15" s="28">
        <f>IF($C15=AK$4,SUM($D33:AK33),0)</f>
        <v>0</v>
      </c>
      <c r="AL15" s="28">
        <f>IF($C15=AL$4,SUM($D33:AL33),0)</f>
        <v>0</v>
      </c>
      <c r="AM15" s="28">
        <f>IF($C15=AM$4,SUM($D33:AM33),0)</f>
        <v>0</v>
      </c>
      <c r="AN15" s="28">
        <f>IF($C15=AN$4,SUM($D33:AN33),0)</f>
        <v>0</v>
      </c>
      <c r="AO15" s="28">
        <f>IF($C15=AO$4,SUM($D33:AO33),0)</f>
        <v>0</v>
      </c>
      <c r="AP15" s="28">
        <f>IF($C15=AP$4,SUM($D33:AP33),0)</f>
        <v>0</v>
      </c>
      <c r="AQ15" s="28">
        <f>IF($C15=AQ$4,SUM($D33:AQ33),0)</f>
        <v>0</v>
      </c>
    </row>
    <row r="16" spans="1:43">
      <c r="B16" s="25" t="str">
        <f>'Project Assumptions'!B33</f>
        <v>Capital Expenditure 9</v>
      </c>
      <c r="C16" s="329">
        <f>'Project Assumptions'!E33</f>
        <v>2025</v>
      </c>
      <c r="D16" s="28">
        <f>IF($C16=D$4,SUM($D34:D34),0)</f>
        <v>0</v>
      </c>
      <c r="E16" s="28">
        <f>IF($C16=E$4,SUM($D34:E34),0)</f>
        <v>0</v>
      </c>
      <c r="F16" s="28">
        <f>IF($C16=F$4,SUM($D34:F34),0)</f>
        <v>0</v>
      </c>
      <c r="G16" s="28">
        <f>IF($C16=G$4,SUM($D34:G34),0)</f>
        <v>0</v>
      </c>
      <c r="H16" s="28">
        <f>IF($C16=H$4,SUM($D34:H34),0)</f>
        <v>0</v>
      </c>
      <c r="I16" s="28">
        <f>IF($C16=I$4,SUM($D34:I34),0)</f>
        <v>0</v>
      </c>
      <c r="J16" s="28">
        <f>IF($C16=J$4,SUM($D34:J34),0)</f>
        <v>0</v>
      </c>
      <c r="K16" s="28">
        <f>IF($C16=K$4,SUM($D34:K34),0)</f>
        <v>0</v>
      </c>
      <c r="L16" s="28">
        <f>IF($C16=L$4,SUM($D34:L34),0)</f>
        <v>0</v>
      </c>
      <c r="M16" s="28">
        <f>IF($C16=M$4,SUM($D34:M34),0)</f>
        <v>634380.29553869402</v>
      </c>
      <c r="N16" s="28">
        <f>IF($C16=N$4,SUM($D34:N34),0)</f>
        <v>0</v>
      </c>
      <c r="O16" s="28">
        <f>IF($C16=O$4,SUM($D34:O34),0)</f>
        <v>0</v>
      </c>
      <c r="P16" s="28">
        <f>IF($C16=P$4,SUM($D34:P34),0)</f>
        <v>0</v>
      </c>
      <c r="Q16" s="28">
        <f>IF($C16=Q$4,SUM($D34:Q34),0)</f>
        <v>0</v>
      </c>
      <c r="R16" s="28">
        <f>IF($C16=R$4,SUM($D34:R34),0)</f>
        <v>0</v>
      </c>
      <c r="S16" s="28">
        <f>IF($C16=S$4,SUM($D34:S34),0)</f>
        <v>0</v>
      </c>
      <c r="T16" s="28">
        <f>IF($C16=T$4,SUM($D34:T34),0)</f>
        <v>0</v>
      </c>
      <c r="U16" s="28">
        <f>IF($C16=U$4,SUM($D34:U34),0)</f>
        <v>0</v>
      </c>
      <c r="V16" s="28">
        <f>IF($C16=V$4,SUM($D34:V34),0)</f>
        <v>0</v>
      </c>
      <c r="W16" s="28">
        <f>IF($C16=W$4,SUM($D34:W34),0)</f>
        <v>0</v>
      </c>
      <c r="X16" s="28">
        <f>IF($C16=X$4,SUM($D34:X34),0)</f>
        <v>0</v>
      </c>
      <c r="Y16" s="28">
        <f>IF($C16=Y$4,SUM($D34:Y34),0)</f>
        <v>0</v>
      </c>
      <c r="Z16" s="28">
        <f>IF($C16=Z$4,SUM($D34:Z34),0)</f>
        <v>0</v>
      </c>
      <c r="AA16" s="28">
        <f>IF($C16=AA$4,SUM($D34:AA34),0)</f>
        <v>0</v>
      </c>
      <c r="AB16" s="28">
        <f>IF($C16=AB$4,SUM($D34:AB34),0)</f>
        <v>0</v>
      </c>
      <c r="AC16" s="28">
        <f>IF($C16=AC$4,SUM($D34:AC34),0)</f>
        <v>0</v>
      </c>
      <c r="AD16" s="28">
        <f>IF($C16=AD$4,SUM($D34:AD34),0)</f>
        <v>0</v>
      </c>
      <c r="AE16" s="28">
        <f>IF($C16=AE$4,SUM($D34:AE34),0)</f>
        <v>0</v>
      </c>
      <c r="AF16" s="28">
        <f>IF($C16=AF$4,SUM($D34:AF34),0)</f>
        <v>0</v>
      </c>
      <c r="AG16" s="28">
        <f>IF($C16=AG$4,SUM($D34:AG34),0)</f>
        <v>0</v>
      </c>
      <c r="AH16" s="28">
        <f>IF($C16=AH$4,SUM($D34:AH34),0)</f>
        <v>0</v>
      </c>
      <c r="AI16" s="28">
        <f>IF($C16=AI$4,SUM($D34:AI34),0)</f>
        <v>0</v>
      </c>
      <c r="AJ16" s="28">
        <f>IF($C16=AJ$4,SUM($D34:AJ34),0)</f>
        <v>0</v>
      </c>
      <c r="AK16" s="28">
        <f>IF($C16=AK$4,SUM($D34:AK34),0)</f>
        <v>0</v>
      </c>
      <c r="AL16" s="28">
        <f>IF($C16=AL$4,SUM($D34:AL34),0)</f>
        <v>0</v>
      </c>
      <c r="AM16" s="28">
        <f>IF($C16=AM$4,SUM($D34:AM34),0)</f>
        <v>0</v>
      </c>
      <c r="AN16" s="28">
        <f>IF($C16=AN$4,SUM($D34:AN34),0)</f>
        <v>0</v>
      </c>
      <c r="AO16" s="28">
        <f>IF($C16=AO$4,SUM($D34:AO34),0)</f>
        <v>0</v>
      </c>
      <c r="AP16" s="28">
        <f>IF($C16=AP$4,SUM($D34:AP34),0)</f>
        <v>0</v>
      </c>
      <c r="AQ16" s="28">
        <f>IF($C16=AQ$4,SUM($D34:AQ34),0)</f>
        <v>0</v>
      </c>
    </row>
    <row r="17" spans="1:43">
      <c r="B17" s="25" t="str">
        <f>'Project Assumptions'!B34</f>
        <v>Capital Expenditure 10</v>
      </c>
      <c r="C17" s="329">
        <f>'Project Assumptions'!E34</f>
        <v>2026</v>
      </c>
      <c r="D17" s="28">
        <f>IF($C17=D$4,SUM($D35:D35),0)</f>
        <v>0</v>
      </c>
      <c r="E17" s="28">
        <f>IF($C17=E$4,SUM($D35:E35),0)</f>
        <v>0</v>
      </c>
      <c r="F17" s="28">
        <f>IF($C17=F$4,SUM($D35:F35),0)</f>
        <v>0</v>
      </c>
      <c r="G17" s="28">
        <f>IF($C17=G$4,SUM($D35:G35),0)</f>
        <v>0</v>
      </c>
      <c r="H17" s="28">
        <f>IF($C17=H$4,SUM($D35:H35),0)</f>
        <v>0</v>
      </c>
      <c r="I17" s="28">
        <f>IF($C17=I$4,SUM($D35:I35),0)</f>
        <v>0</v>
      </c>
      <c r="J17" s="28">
        <f>IF($C17=J$4,SUM($D35:J35),0)</f>
        <v>0</v>
      </c>
      <c r="K17" s="28">
        <f>IF($C17=K$4,SUM($D35:K35),0)</f>
        <v>0</v>
      </c>
      <c r="L17" s="28">
        <f>IF($C17=L$4,SUM($D35:L35),0)</f>
        <v>0</v>
      </c>
      <c r="M17" s="28">
        <f>IF($C17=M$4,SUM($D35:M35),0)</f>
        <v>0</v>
      </c>
      <c r="N17" s="28">
        <f>IF($C17=N$4,SUM($D35:N35),0)</f>
        <v>541518.79397447989</v>
      </c>
      <c r="O17" s="28">
        <f>IF($C17=O$4,SUM($D35:O35),0)</f>
        <v>0</v>
      </c>
      <c r="P17" s="28">
        <f>IF($C17=P$4,SUM($D35:P35),0)</f>
        <v>0</v>
      </c>
      <c r="Q17" s="28">
        <f>IF($C17=Q$4,SUM($D35:Q35),0)</f>
        <v>0</v>
      </c>
      <c r="R17" s="28">
        <f>IF($C17=R$4,SUM($D35:R35),0)</f>
        <v>0</v>
      </c>
      <c r="S17" s="28">
        <f>IF($C17=S$4,SUM($D35:S35),0)</f>
        <v>0</v>
      </c>
      <c r="T17" s="28">
        <f>IF($C17=T$4,SUM($D35:T35),0)</f>
        <v>0</v>
      </c>
      <c r="U17" s="28">
        <f>IF($C17=U$4,SUM($D35:U35),0)</f>
        <v>0</v>
      </c>
      <c r="V17" s="28">
        <f>IF($C17=V$4,SUM($D35:V35),0)</f>
        <v>0</v>
      </c>
      <c r="W17" s="28">
        <f>IF($C17=W$4,SUM($D35:W35),0)</f>
        <v>0</v>
      </c>
      <c r="X17" s="28">
        <f>IF($C17=X$4,SUM($D35:X35),0)</f>
        <v>0</v>
      </c>
      <c r="Y17" s="28">
        <f>IF($C17=Y$4,SUM($D35:Y35),0)</f>
        <v>0</v>
      </c>
      <c r="Z17" s="28">
        <f>IF($C17=Z$4,SUM($D35:Z35),0)</f>
        <v>0</v>
      </c>
      <c r="AA17" s="28">
        <f>IF($C17=AA$4,SUM($D35:AA35),0)</f>
        <v>0</v>
      </c>
      <c r="AB17" s="28">
        <f>IF($C17=AB$4,SUM($D35:AB35),0)</f>
        <v>0</v>
      </c>
      <c r="AC17" s="28">
        <f>IF($C17=AC$4,SUM($D35:AC35),0)</f>
        <v>0</v>
      </c>
      <c r="AD17" s="28">
        <f>IF($C17=AD$4,SUM($D35:AD35),0)</f>
        <v>0</v>
      </c>
      <c r="AE17" s="28">
        <f>IF($C17=AE$4,SUM($D35:AE35),0)</f>
        <v>0</v>
      </c>
      <c r="AF17" s="28">
        <f>IF($C17=AF$4,SUM($D35:AF35),0)</f>
        <v>0</v>
      </c>
      <c r="AG17" s="28">
        <f>IF($C17=AG$4,SUM($D35:AG35),0)</f>
        <v>0</v>
      </c>
      <c r="AH17" s="28">
        <f>IF($C17=AH$4,SUM($D35:AH35),0)</f>
        <v>0</v>
      </c>
      <c r="AI17" s="28">
        <f>IF($C17=AI$4,SUM($D35:AI35),0)</f>
        <v>0</v>
      </c>
      <c r="AJ17" s="28">
        <f>IF($C17=AJ$4,SUM($D35:AJ35),0)</f>
        <v>0</v>
      </c>
      <c r="AK17" s="28">
        <f>IF($C17=AK$4,SUM($D35:AK35),0)</f>
        <v>0</v>
      </c>
      <c r="AL17" s="28">
        <f>IF($C17=AL$4,SUM($D35:AL35),0)</f>
        <v>0</v>
      </c>
      <c r="AM17" s="28">
        <f>IF($C17=AM$4,SUM($D35:AM35),0)</f>
        <v>0</v>
      </c>
      <c r="AN17" s="28">
        <f>IF($C17=AN$4,SUM($D35:AN35),0)</f>
        <v>0</v>
      </c>
      <c r="AO17" s="28">
        <f>IF($C17=AO$4,SUM($D35:AO35),0)</f>
        <v>0</v>
      </c>
      <c r="AP17" s="28">
        <f>IF($C17=AP$4,SUM($D35:AP35),0)</f>
        <v>0</v>
      </c>
      <c r="AQ17" s="28">
        <f>IF($C17=AQ$4,SUM($D35:AQ35),0)</f>
        <v>0</v>
      </c>
    </row>
    <row r="18" spans="1:43">
      <c r="B18" s="25" t="str">
        <f>'Project Assumptions'!B35</f>
        <v>Capital Expenditure 11</v>
      </c>
      <c r="C18" s="330">
        <f>'Project Assumptions'!E35</f>
        <v>2027</v>
      </c>
      <c r="D18" s="28">
        <f>IF($C18=D$4,SUM($D36:D36),0)</f>
        <v>0</v>
      </c>
      <c r="E18" s="28">
        <f>IF($C18=E$4,SUM($D36:E36),0)</f>
        <v>0</v>
      </c>
      <c r="F18" s="28">
        <f>IF($C18=F$4,SUM($D36:F36),0)</f>
        <v>0</v>
      </c>
      <c r="G18" s="28">
        <f>IF($C18=G$4,SUM($D36:G36),0)</f>
        <v>0</v>
      </c>
      <c r="H18" s="28">
        <f>IF($C18=H$4,SUM($D36:H36),0)</f>
        <v>0</v>
      </c>
      <c r="I18" s="28">
        <f>IF($C18=I$4,SUM($D36:I36),0)</f>
        <v>0</v>
      </c>
      <c r="J18" s="28">
        <f>IF($C18=J$4,SUM($D36:J36),0)</f>
        <v>0</v>
      </c>
      <c r="K18" s="28">
        <f>IF($C18=K$4,SUM($D36:K36),0)</f>
        <v>0</v>
      </c>
      <c r="L18" s="28">
        <f>IF($C18=L$4,SUM($D36:L36),0)</f>
        <v>0</v>
      </c>
      <c r="M18" s="28">
        <f>IF($C18=M$4,SUM($D36:M36),0)</f>
        <v>0</v>
      </c>
      <c r="N18" s="28">
        <f>IF($C18=N$4,SUM($D36:N36),0)</f>
        <v>0</v>
      </c>
      <c r="O18" s="28">
        <f>IF($C18=O$4,SUM($D36:O36),0)</f>
        <v>547287.11254432471</v>
      </c>
      <c r="P18" s="28">
        <f>IF($C18=P$4,SUM($D36:P36),0)</f>
        <v>0</v>
      </c>
      <c r="Q18" s="28">
        <f>IF($C18=Q$4,SUM($D36:Q36),0)</f>
        <v>0</v>
      </c>
      <c r="R18" s="28">
        <f>IF($C18=R$4,SUM($D36:R36),0)</f>
        <v>0</v>
      </c>
      <c r="S18" s="28">
        <f>IF($C18=S$4,SUM($D36:S36),0)</f>
        <v>0</v>
      </c>
      <c r="T18" s="28">
        <f>IF($C18=T$4,SUM($D36:T36),0)</f>
        <v>0</v>
      </c>
      <c r="U18" s="28">
        <f>IF($C18=U$4,SUM($D36:U36),0)</f>
        <v>0</v>
      </c>
      <c r="V18" s="28">
        <f>IF($C18=V$4,SUM($D36:V36),0)</f>
        <v>0</v>
      </c>
      <c r="W18" s="28">
        <f>IF($C18=W$4,SUM($D36:W36),0)</f>
        <v>0</v>
      </c>
      <c r="X18" s="28">
        <f>IF($C18=X$4,SUM($D36:X36),0)</f>
        <v>0</v>
      </c>
      <c r="Y18" s="28">
        <f>IF($C18=Y$4,SUM($D36:Y36),0)</f>
        <v>0</v>
      </c>
      <c r="Z18" s="28">
        <f>IF($C18=Z$4,SUM($D36:Z36),0)</f>
        <v>0</v>
      </c>
      <c r="AA18" s="28">
        <f>IF($C18=AA$4,SUM($D36:AA36),0)</f>
        <v>0</v>
      </c>
      <c r="AB18" s="28">
        <f>IF($C18=AB$4,SUM($D36:AB36),0)</f>
        <v>0</v>
      </c>
      <c r="AC18" s="28">
        <f>IF($C18=AC$4,SUM($D36:AC36),0)</f>
        <v>0</v>
      </c>
      <c r="AD18" s="28">
        <f>IF($C18=AD$4,SUM($D36:AD36),0)</f>
        <v>0</v>
      </c>
      <c r="AE18" s="28">
        <f>IF($C18=AE$4,SUM($D36:AE36),0)</f>
        <v>0</v>
      </c>
      <c r="AF18" s="28">
        <f>IF($C18=AF$4,SUM($D36:AF36),0)</f>
        <v>0</v>
      </c>
      <c r="AG18" s="28">
        <f>IF($C18=AG$4,SUM($D36:AG36),0)</f>
        <v>0</v>
      </c>
      <c r="AH18" s="28">
        <f>IF($C18=AH$4,SUM($D36:AH36),0)</f>
        <v>0</v>
      </c>
      <c r="AI18" s="28">
        <f>IF($C18=AI$4,SUM($D36:AI36),0)</f>
        <v>0</v>
      </c>
      <c r="AJ18" s="28">
        <f>IF($C18=AJ$4,SUM($D36:AJ36),0)</f>
        <v>0</v>
      </c>
      <c r="AK18" s="28">
        <f>IF($C18=AK$4,SUM($D36:AK36),0)</f>
        <v>0</v>
      </c>
      <c r="AL18" s="28">
        <f>IF($C18=AL$4,SUM($D36:AL36),0)</f>
        <v>0</v>
      </c>
      <c r="AM18" s="28">
        <f>IF($C18=AM$4,SUM($D36:AM36),0)</f>
        <v>0</v>
      </c>
      <c r="AN18" s="28">
        <f>IF($C18=AN$4,SUM($D36:AN36),0)</f>
        <v>0</v>
      </c>
      <c r="AO18" s="28">
        <f>IF($C18=AO$4,SUM($D36:AO36),0)</f>
        <v>0</v>
      </c>
      <c r="AP18" s="28">
        <f>IF($C18=AP$4,SUM($D36:AP36),0)</f>
        <v>0</v>
      </c>
      <c r="AQ18" s="28">
        <f>IF($C18=AQ$4,SUM($D36:AQ36),0)</f>
        <v>0</v>
      </c>
    </row>
    <row r="19" spans="1:43">
      <c r="B19" s="25" t="str">
        <f>'Project Assumptions'!B36</f>
        <v>Capital Expenditure 12</v>
      </c>
      <c r="C19" s="330">
        <f>'Project Assumptions'!E36</f>
        <v>2028</v>
      </c>
      <c r="D19" s="28">
        <f>IF($C19=D$4,SUM($D37:D37),0)</f>
        <v>0</v>
      </c>
      <c r="E19" s="28">
        <f>IF($C19=E$4,SUM($D37:E37),0)</f>
        <v>0</v>
      </c>
      <c r="F19" s="28">
        <f>IF($C19=F$4,SUM($D37:F37),0)</f>
        <v>0</v>
      </c>
      <c r="G19" s="28">
        <f>IF($C19=G$4,SUM($D37:G37),0)</f>
        <v>0</v>
      </c>
      <c r="H19" s="28">
        <f>IF($C19=H$4,SUM($D37:H37),0)</f>
        <v>0</v>
      </c>
      <c r="I19" s="28">
        <f>IF($C19=I$4,SUM($D37:I37),0)</f>
        <v>0</v>
      </c>
      <c r="J19" s="28">
        <f>IF($C19=J$4,SUM($D37:J37),0)</f>
        <v>0</v>
      </c>
      <c r="K19" s="28">
        <f>IF($C19=K$4,SUM($D37:K37),0)</f>
        <v>0</v>
      </c>
      <c r="L19" s="28">
        <f>IF($C19=L$4,SUM($D37:L37),0)</f>
        <v>0</v>
      </c>
      <c r="M19" s="28">
        <f>IF($C19=M$4,SUM($D37:M37),0)</f>
        <v>0</v>
      </c>
      <c r="N19" s="28">
        <f>IF($C19=N$4,SUM($D37:N37),0)</f>
        <v>0</v>
      </c>
      <c r="O19" s="28">
        <f>IF($C19=O$4,SUM($D37:O37),0)</f>
        <v>0</v>
      </c>
      <c r="P19" s="28">
        <f>IF($C19=P$4,SUM($D37:P37),0)</f>
        <v>563705.72592065425</v>
      </c>
      <c r="Q19" s="28">
        <f>IF($C19=Q$4,SUM($D37:Q37),0)</f>
        <v>0</v>
      </c>
      <c r="R19" s="28">
        <f>IF($C19=R$4,SUM($D37:R37),0)</f>
        <v>0</v>
      </c>
      <c r="S19" s="28">
        <f>IF($C19=S$4,SUM($D37:S37),0)</f>
        <v>0</v>
      </c>
      <c r="T19" s="28">
        <f>IF($C19=T$4,SUM($D37:T37),0)</f>
        <v>0</v>
      </c>
      <c r="U19" s="28">
        <f>IF($C19=U$4,SUM($D37:U37),0)</f>
        <v>0</v>
      </c>
      <c r="V19" s="28">
        <f>IF($C19=V$4,SUM($D37:V37),0)</f>
        <v>0</v>
      </c>
      <c r="W19" s="28">
        <f>IF($C19=W$4,SUM($D37:W37),0)</f>
        <v>0</v>
      </c>
      <c r="X19" s="28">
        <f>IF($C19=X$4,SUM($D37:X37),0)</f>
        <v>0</v>
      </c>
      <c r="Y19" s="28">
        <f>IF($C19=Y$4,SUM($D37:Y37),0)</f>
        <v>0</v>
      </c>
      <c r="Z19" s="28">
        <f>IF($C19=Z$4,SUM($D37:Z37),0)</f>
        <v>0</v>
      </c>
      <c r="AA19" s="28">
        <f>IF($C19=AA$4,SUM($D37:AA37),0)</f>
        <v>0</v>
      </c>
      <c r="AB19" s="28">
        <f>IF($C19=AB$4,SUM($D37:AB37),0)</f>
        <v>0</v>
      </c>
      <c r="AC19" s="28">
        <f>IF($C19=AC$4,SUM($D37:AC37),0)</f>
        <v>0</v>
      </c>
      <c r="AD19" s="28">
        <f>IF($C19=AD$4,SUM($D37:AD37),0)</f>
        <v>0</v>
      </c>
      <c r="AE19" s="28">
        <f>IF($C19=AE$4,SUM($D37:AE37),0)</f>
        <v>0</v>
      </c>
      <c r="AF19" s="28">
        <f>IF($C19=AF$4,SUM($D37:AF37),0)</f>
        <v>0</v>
      </c>
      <c r="AG19" s="28">
        <f>IF($C19=AG$4,SUM($D37:AG37),0)</f>
        <v>0</v>
      </c>
      <c r="AH19" s="28">
        <f>IF($C19=AH$4,SUM($D37:AH37),0)</f>
        <v>0</v>
      </c>
      <c r="AI19" s="28">
        <f>IF($C19=AI$4,SUM($D37:AI37),0)</f>
        <v>0</v>
      </c>
      <c r="AJ19" s="28">
        <f>IF($C19=AJ$4,SUM($D37:AJ37),0)</f>
        <v>0</v>
      </c>
      <c r="AK19" s="28">
        <f>IF($C19=AK$4,SUM($D37:AK37),0)</f>
        <v>0</v>
      </c>
      <c r="AL19" s="28">
        <f>IF($C19=AL$4,SUM($D37:AL37),0)</f>
        <v>0</v>
      </c>
      <c r="AM19" s="28">
        <f>IF($C19=AM$4,SUM($D37:AM37),0)</f>
        <v>0</v>
      </c>
      <c r="AN19" s="28">
        <f>IF($C19=AN$4,SUM($D37:AN37),0)</f>
        <v>0</v>
      </c>
      <c r="AO19" s="28">
        <f>IF($C19=AO$4,SUM($D37:AO37),0)</f>
        <v>0</v>
      </c>
      <c r="AP19" s="28">
        <f>IF($C19=AP$4,SUM($D37:AP37),0)</f>
        <v>0</v>
      </c>
      <c r="AQ19" s="28">
        <f>IF($C19=AQ$4,SUM($D37:AQ37),0)</f>
        <v>0</v>
      </c>
    </row>
    <row r="20" spans="1:43" s="23" customFormat="1">
      <c r="A20" s="50"/>
      <c r="B20" s="27" t="s">
        <v>32</v>
      </c>
      <c r="C20" s="328"/>
      <c r="D20" s="79">
        <f t="shared" ref="D20:AQ20" si="1">SUM(D8:D19)</f>
        <v>0</v>
      </c>
      <c r="E20" s="79">
        <f t="shared" si="1"/>
        <v>21331808.445791449</v>
      </c>
      <c r="F20" s="79">
        <f t="shared" si="1"/>
        <v>34855100.900200084</v>
      </c>
      <c r="G20" s="79">
        <f t="shared" si="1"/>
        <v>82664052.300202608</v>
      </c>
      <c r="H20" s="79">
        <f t="shared" si="1"/>
        <v>68499340.457383499</v>
      </c>
      <c r="I20" s="79">
        <f t="shared" si="1"/>
        <v>70897891.830320135</v>
      </c>
      <c r="J20" s="79">
        <f t="shared" si="1"/>
        <v>73024828.58522974</v>
      </c>
      <c r="K20" s="79">
        <f t="shared" si="1"/>
        <v>75215573.442786634</v>
      </c>
      <c r="L20" s="79">
        <f t="shared" si="1"/>
        <v>64985850.289360598</v>
      </c>
      <c r="M20" s="79">
        <f t="shared" si="1"/>
        <v>634380.29553869402</v>
      </c>
      <c r="N20" s="79">
        <f t="shared" si="1"/>
        <v>541518.79397447989</v>
      </c>
      <c r="O20" s="79">
        <f t="shared" si="1"/>
        <v>547287.11254432471</v>
      </c>
      <c r="P20" s="79">
        <f t="shared" si="1"/>
        <v>563705.72592065425</v>
      </c>
      <c r="Q20" s="79">
        <f t="shared" si="1"/>
        <v>0</v>
      </c>
      <c r="R20" s="79">
        <f t="shared" si="1"/>
        <v>0</v>
      </c>
      <c r="S20" s="79">
        <f t="shared" si="1"/>
        <v>0</v>
      </c>
      <c r="T20" s="79">
        <f t="shared" si="1"/>
        <v>0</v>
      </c>
      <c r="U20" s="79">
        <f t="shared" si="1"/>
        <v>0</v>
      </c>
      <c r="V20" s="79">
        <f t="shared" si="1"/>
        <v>0</v>
      </c>
      <c r="W20" s="79">
        <f t="shared" si="1"/>
        <v>0</v>
      </c>
      <c r="X20" s="79">
        <f t="shared" si="1"/>
        <v>0</v>
      </c>
      <c r="Y20" s="79">
        <f t="shared" si="1"/>
        <v>0</v>
      </c>
      <c r="Z20" s="79">
        <f t="shared" si="1"/>
        <v>0</v>
      </c>
      <c r="AA20" s="79">
        <f t="shared" si="1"/>
        <v>0</v>
      </c>
      <c r="AB20" s="79">
        <f t="shared" si="1"/>
        <v>0</v>
      </c>
      <c r="AC20" s="79">
        <f t="shared" si="1"/>
        <v>0</v>
      </c>
      <c r="AD20" s="79">
        <f t="shared" si="1"/>
        <v>0</v>
      </c>
      <c r="AE20" s="79">
        <f t="shared" si="1"/>
        <v>0</v>
      </c>
      <c r="AF20" s="79">
        <f t="shared" si="1"/>
        <v>0</v>
      </c>
      <c r="AG20" s="79">
        <f t="shared" si="1"/>
        <v>0</v>
      </c>
      <c r="AH20" s="79">
        <f t="shared" si="1"/>
        <v>0</v>
      </c>
      <c r="AI20" s="79">
        <f t="shared" si="1"/>
        <v>0</v>
      </c>
      <c r="AJ20" s="79">
        <f t="shared" si="1"/>
        <v>0</v>
      </c>
      <c r="AK20" s="79">
        <f t="shared" si="1"/>
        <v>0</v>
      </c>
      <c r="AL20" s="79">
        <f t="shared" si="1"/>
        <v>0</v>
      </c>
      <c r="AM20" s="79">
        <f t="shared" si="1"/>
        <v>0</v>
      </c>
      <c r="AN20" s="79">
        <f t="shared" si="1"/>
        <v>0</v>
      </c>
      <c r="AO20" s="79">
        <f t="shared" si="1"/>
        <v>0</v>
      </c>
      <c r="AP20" s="79">
        <f t="shared" si="1"/>
        <v>0</v>
      </c>
      <c r="AQ20" s="79">
        <f t="shared" si="1"/>
        <v>0</v>
      </c>
    </row>
    <row r="21" spans="1:43">
      <c r="B21" s="25"/>
      <c r="C21" s="329"/>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23" customFormat="1">
      <c r="A22" s="50"/>
      <c r="B22" s="27" t="s">
        <v>37</v>
      </c>
      <c r="C22" s="328"/>
      <c r="D22" s="81">
        <f>D20</f>
        <v>0</v>
      </c>
      <c r="E22" s="81">
        <f>SUM($D20:E20)</f>
        <v>21331808.445791449</v>
      </c>
      <c r="F22" s="81">
        <f>SUM($D20:F20)</f>
        <v>56186909.345991537</v>
      </c>
      <c r="G22" s="81">
        <f>SUM($D20:G20)</f>
        <v>138850961.64619416</v>
      </c>
      <c r="H22" s="81">
        <f>SUM($D20:H20)</f>
        <v>207350302.10357767</v>
      </c>
      <c r="I22" s="81">
        <f>SUM($D20:I20)</f>
        <v>278248193.93389779</v>
      </c>
      <c r="J22" s="81">
        <f>SUM($D20:J20)</f>
        <v>351273022.51912755</v>
      </c>
      <c r="K22" s="81">
        <f>SUM($D20:K20)</f>
        <v>426488595.96191418</v>
      </c>
      <c r="L22" s="81">
        <f>SUM($D20:L20)</f>
        <v>491474446.25127476</v>
      </c>
      <c r="M22" s="81">
        <f>SUM($D20:M20)</f>
        <v>492108826.54681349</v>
      </c>
      <c r="N22" s="81">
        <f>SUM($D20:N20)</f>
        <v>492650345.34078795</v>
      </c>
      <c r="O22" s="81">
        <f>SUM($D20:O20)</f>
        <v>493197632.45333225</v>
      </c>
      <c r="P22" s="81">
        <f>SUM($D20:P20)</f>
        <v>493761338.17925292</v>
      </c>
      <c r="Q22" s="81">
        <f>SUM($D20:Q20)</f>
        <v>493761338.17925292</v>
      </c>
      <c r="R22" s="81">
        <f>SUM($D20:R20)</f>
        <v>493761338.17925292</v>
      </c>
      <c r="S22" s="81">
        <f>SUM($D20:S20)</f>
        <v>493761338.17925292</v>
      </c>
      <c r="T22" s="81">
        <f>SUM($D20:T20)</f>
        <v>493761338.17925292</v>
      </c>
      <c r="U22" s="81">
        <f>SUM($D20:U20)</f>
        <v>493761338.17925292</v>
      </c>
      <c r="V22" s="81">
        <f>SUM($D20:V20)</f>
        <v>493761338.17925292</v>
      </c>
      <c r="W22" s="81">
        <f>SUM($D20:W20)</f>
        <v>493761338.17925292</v>
      </c>
      <c r="X22" s="81">
        <f>SUM($D20:X20)</f>
        <v>493761338.17925292</v>
      </c>
      <c r="Y22" s="81">
        <f>SUM($D20:Y20)</f>
        <v>493761338.17925292</v>
      </c>
      <c r="Z22" s="81">
        <f>SUM($D20:Z20)</f>
        <v>493761338.17925292</v>
      </c>
      <c r="AA22" s="81">
        <f>SUM($D20:AA20)</f>
        <v>493761338.17925292</v>
      </c>
      <c r="AB22" s="81">
        <f>SUM($D20:AB20)</f>
        <v>493761338.17925292</v>
      </c>
      <c r="AC22" s="81">
        <f>SUM($D20:AC20)</f>
        <v>493761338.17925292</v>
      </c>
      <c r="AD22" s="81">
        <f>SUM($D20:AD20)</f>
        <v>493761338.17925292</v>
      </c>
      <c r="AE22" s="81">
        <f>SUM($D20:AE20)</f>
        <v>493761338.17925292</v>
      </c>
      <c r="AF22" s="81">
        <f>SUM($D20:AF20)</f>
        <v>493761338.17925292</v>
      </c>
      <c r="AG22" s="81">
        <f>SUM($D20:AG20)</f>
        <v>493761338.17925292</v>
      </c>
      <c r="AH22" s="81">
        <f>SUM($D20:AH20)</f>
        <v>493761338.17925292</v>
      </c>
      <c r="AI22" s="81">
        <f>SUM($D20:AI20)</f>
        <v>493761338.17925292</v>
      </c>
      <c r="AJ22" s="81">
        <f>SUM($D20:AJ20)</f>
        <v>493761338.17925292</v>
      </c>
      <c r="AK22" s="81">
        <f>SUM($D20:AK20)</f>
        <v>493761338.17925292</v>
      </c>
      <c r="AL22" s="81">
        <f>SUM($D20:AL20)</f>
        <v>493761338.17925292</v>
      </c>
      <c r="AM22" s="81">
        <f>SUM($D20:AM20)</f>
        <v>493761338.17925292</v>
      </c>
      <c r="AN22" s="81">
        <f>SUM($D20:AN20)</f>
        <v>493761338.17925292</v>
      </c>
      <c r="AO22" s="81">
        <f>SUM($D20:AO20)</f>
        <v>493761338.17925292</v>
      </c>
      <c r="AP22" s="81">
        <f>SUM($D20:AP20)</f>
        <v>493761338.17925292</v>
      </c>
      <c r="AQ22" s="81">
        <f>SUM($D20:AQ20)</f>
        <v>493761338.17925292</v>
      </c>
    </row>
    <row r="23" spans="1:43">
      <c r="B23" s="25"/>
      <c r="C23" s="329"/>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c r="B24" s="25"/>
      <c r="C24" s="329"/>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c r="B25" s="27" t="s">
        <v>134</v>
      </c>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row>
    <row r="26" spans="1:43">
      <c r="B26" s="25" t="str">
        <f>'Project Assumptions'!B25</f>
        <v>Capital Expenditure 1</v>
      </c>
      <c r="D26" s="28">
        <f t="shared" ref="D26:AQ26" si="2">D43+D59</f>
        <v>20562818.227624059</v>
      </c>
      <c r="E26" s="28">
        <f t="shared" si="2"/>
        <v>768990.21816739161</v>
      </c>
      <c r="F26" s="28">
        <f t="shared" si="2"/>
        <v>0</v>
      </c>
      <c r="G26" s="28">
        <f t="shared" si="2"/>
        <v>0</v>
      </c>
      <c r="H26" s="28">
        <f t="shared" si="2"/>
        <v>0</v>
      </c>
      <c r="I26" s="28">
        <f t="shared" si="2"/>
        <v>0</v>
      </c>
      <c r="J26" s="28">
        <f t="shared" si="2"/>
        <v>0</v>
      </c>
      <c r="K26" s="28">
        <f t="shared" si="2"/>
        <v>0</v>
      </c>
      <c r="L26" s="28">
        <f t="shared" si="2"/>
        <v>0</v>
      </c>
      <c r="M26" s="28">
        <f t="shared" si="2"/>
        <v>0</v>
      </c>
      <c r="N26" s="28">
        <f t="shared" si="2"/>
        <v>0</v>
      </c>
      <c r="O26" s="28">
        <f t="shared" si="2"/>
        <v>0</v>
      </c>
      <c r="P26" s="28">
        <f t="shared" si="2"/>
        <v>0</v>
      </c>
      <c r="Q26" s="28">
        <f t="shared" si="2"/>
        <v>0</v>
      </c>
      <c r="R26" s="28">
        <f t="shared" si="2"/>
        <v>0</v>
      </c>
      <c r="S26" s="28">
        <f t="shared" si="2"/>
        <v>0</v>
      </c>
      <c r="T26" s="28">
        <f t="shared" si="2"/>
        <v>0</v>
      </c>
      <c r="U26" s="28">
        <f t="shared" si="2"/>
        <v>0</v>
      </c>
      <c r="V26" s="28">
        <f t="shared" si="2"/>
        <v>0</v>
      </c>
      <c r="W26" s="28">
        <f t="shared" si="2"/>
        <v>0</v>
      </c>
      <c r="X26" s="28">
        <f t="shared" si="2"/>
        <v>0</v>
      </c>
      <c r="Y26" s="28">
        <f t="shared" si="2"/>
        <v>0</v>
      </c>
      <c r="Z26" s="28">
        <f t="shared" si="2"/>
        <v>0</v>
      </c>
      <c r="AA26" s="28">
        <f t="shared" si="2"/>
        <v>0</v>
      </c>
      <c r="AB26" s="28">
        <f t="shared" si="2"/>
        <v>0</v>
      </c>
      <c r="AC26" s="28">
        <f t="shared" si="2"/>
        <v>0</v>
      </c>
      <c r="AD26" s="28">
        <f t="shared" si="2"/>
        <v>0</v>
      </c>
      <c r="AE26" s="28">
        <f t="shared" si="2"/>
        <v>0</v>
      </c>
      <c r="AF26" s="28">
        <f t="shared" si="2"/>
        <v>0</v>
      </c>
      <c r="AG26" s="28">
        <f t="shared" si="2"/>
        <v>0</v>
      </c>
      <c r="AH26" s="28">
        <f t="shared" si="2"/>
        <v>0</v>
      </c>
      <c r="AI26" s="28">
        <f t="shared" si="2"/>
        <v>0</v>
      </c>
      <c r="AJ26" s="28">
        <f t="shared" si="2"/>
        <v>0</v>
      </c>
      <c r="AK26" s="28">
        <f t="shared" si="2"/>
        <v>0</v>
      </c>
      <c r="AL26" s="28">
        <f t="shared" si="2"/>
        <v>0</v>
      </c>
      <c r="AM26" s="28">
        <f t="shared" si="2"/>
        <v>0</v>
      </c>
      <c r="AN26" s="28">
        <f t="shared" si="2"/>
        <v>0</v>
      </c>
      <c r="AO26" s="28">
        <f t="shared" si="2"/>
        <v>0</v>
      </c>
      <c r="AP26" s="28">
        <f t="shared" si="2"/>
        <v>0</v>
      </c>
      <c r="AQ26" s="28">
        <f t="shared" si="2"/>
        <v>0</v>
      </c>
    </row>
    <row r="27" spans="1:43">
      <c r="B27" s="25" t="str">
        <f>'Project Assumptions'!B26</f>
        <v>Capital Expenditure 2</v>
      </c>
      <c r="D27" s="28">
        <f t="shared" ref="D27:AQ27" si="3">D44+D60</f>
        <v>0</v>
      </c>
      <c r="E27" s="28">
        <f t="shared" si="3"/>
        <v>33598609.603946231</v>
      </c>
      <c r="F27" s="28">
        <f t="shared" si="3"/>
        <v>1256491.2962538491</v>
      </c>
      <c r="G27" s="28">
        <f t="shared" si="3"/>
        <v>0</v>
      </c>
      <c r="H27" s="28">
        <f t="shared" si="3"/>
        <v>0</v>
      </c>
      <c r="I27" s="28">
        <f t="shared" si="3"/>
        <v>0</v>
      </c>
      <c r="J27" s="28">
        <f t="shared" si="3"/>
        <v>0</v>
      </c>
      <c r="K27" s="28">
        <f t="shared" si="3"/>
        <v>0</v>
      </c>
      <c r="L27" s="28">
        <f t="shared" si="3"/>
        <v>0</v>
      </c>
      <c r="M27" s="28">
        <f t="shared" si="3"/>
        <v>0</v>
      </c>
      <c r="N27" s="28">
        <f t="shared" si="3"/>
        <v>0</v>
      </c>
      <c r="O27" s="28">
        <f t="shared" si="3"/>
        <v>0</v>
      </c>
      <c r="P27" s="28">
        <f t="shared" si="3"/>
        <v>0</v>
      </c>
      <c r="Q27" s="28">
        <f t="shared" si="3"/>
        <v>0</v>
      </c>
      <c r="R27" s="28">
        <f t="shared" si="3"/>
        <v>0</v>
      </c>
      <c r="S27" s="28">
        <f t="shared" si="3"/>
        <v>0</v>
      </c>
      <c r="T27" s="28">
        <f t="shared" si="3"/>
        <v>0</v>
      </c>
      <c r="U27" s="28">
        <f t="shared" si="3"/>
        <v>0</v>
      </c>
      <c r="V27" s="28">
        <f t="shared" si="3"/>
        <v>0</v>
      </c>
      <c r="W27" s="28">
        <f t="shared" si="3"/>
        <v>0</v>
      </c>
      <c r="X27" s="28">
        <f t="shared" si="3"/>
        <v>0</v>
      </c>
      <c r="Y27" s="28">
        <f t="shared" si="3"/>
        <v>0</v>
      </c>
      <c r="Z27" s="28">
        <f t="shared" si="3"/>
        <v>0</v>
      </c>
      <c r="AA27" s="28">
        <f t="shared" si="3"/>
        <v>0</v>
      </c>
      <c r="AB27" s="28">
        <f t="shared" si="3"/>
        <v>0</v>
      </c>
      <c r="AC27" s="28">
        <f t="shared" si="3"/>
        <v>0</v>
      </c>
      <c r="AD27" s="28">
        <f t="shared" si="3"/>
        <v>0</v>
      </c>
      <c r="AE27" s="28">
        <f t="shared" si="3"/>
        <v>0</v>
      </c>
      <c r="AF27" s="28">
        <f t="shared" si="3"/>
        <v>0</v>
      </c>
      <c r="AG27" s="28">
        <f t="shared" si="3"/>
        <v>0</v>
      </c>
      <c r="AH27" s="28">
        <f t="shared" si="3"/>
        <v>0</v>
      </c>
      <c r="AI27" s="28">
        <f t="shared" si="3"/>
        <v>0</v>
      </c>
      <c r="AJ27" s="28">
        <f t="shared" si="3"/>
        <v>0</v>
      </c>
      <c r="AK27" s="28">
        <f t="shared" si="3"/>
        <v>0</v>
      </c>
      <c r="AL27" s="28">
        <f t="shared" si="3"/>
        <v>0</v>
      </c>
      <c r="AM27" s="28">
        <f t="shared" si="3"/>
        <v>0</v>
      </c>
      <c r="AN27" s="28">
        <f t="shared" si="3"/>
        <v>0</v>
      </c>
      <c r="AO27" s="28">
        <f t="shared" si="3"/>
        <v>0</v>
      </c>
      <c r="AP27" s="28">
        <f t="shared" si="3"/>
        <v>0</v>
      </c>
      <c r="AQ27" s="28">
        <f t="shared" si="3"/>
        <v>0</v>
      </c>
    </row>
    <row r="28" spans="1:43">
      <c r="B28" s="25" t="str">
        <f>'Project Assumptions'!B27</f>
        <v>Capital Expenditure 3</v>
      </c>
      <c r="D28" s="28">
        <f t="shared" ref="D28:AQ28" si="4">D45+D61</f>
        <v>0</v>
      </c>
      <c r="E28" s="28">
        <f t="shared" si="4"/>
        <v>0</v>
      </c>
      <c r="F28" s="28">
        <f t="shared" si="4"/>
        <v>79684096.438772827</v>
      </c>
      <c r="G28" s="28">
        <f t="shared" si="4"/>
        <v>2979955.8614297775</v>
      </c>
      <c r="H28" s="28">
        <f t="shared" si="4"/>
        <v>0</v>
      </c>
      <c r="I28" s="28">
        <f t="shared" si="4"/>
        <v>0</v>
      </c>
      <c r="J28" s="28">
        <f t="shared" si="4"/>
        <v>0</v>
      </c>
      <c r="K28" s="28">
        <f t="shared" si="4"/>
        <v>0</v>
      </c>
      <c r="L28" s="28">
        <f t="shared" si="4"/>
        <v>0</v>
      </c>
      <c r="M28" s="28">
        <f t="shared" si="4"/>
        <v>0</v>
      </c>
      <c r="N28" s="28">
        <f t="shared" si="4"/>
        <v>0</v>
      </c>
      <c r="O28" s="28">
        <f t="shared" si="4"/>
        <v>0</v>
      </c>
      <c r="P28" s="28">
        <f t="shared" si="4"/>
        <v>0</v>
      </c>
      <c r="Q28" s="28">
        <f t="shared" si="4"/>
        <v>0</v>
      </c>
      <c r="R28" s="28">
        <f t="shared" si="4"/>
        <v>0</v>
      </c>
      <c r="S28" s="28">
        <f t="shared" si="4"/>
        <v>0</v>
      </c>
      <c r="T28" s="28">
        <f t="shared" si="4"/>
        <v>0</v>
      </c>
      <c r="U28" s="28">
        <f t="shared" si="4"/>
        <v>0</v>
      </c>
      <c r="V28" s="28">
        <f t="shared" si="4"/>
        <v>0</v>
      </c>
      <c r="W28" s="28">
        <f t="shared" si="4"/>
        <v>0</v>
      </c>
      <c r="X28" s="28">
        <f t="shared" si="4"/>
        <v>0</v>
      </c>
      <c r="Y28" s="28">
        <f t="shared" si="4"/>
        <v>0</v>
      </c>
      <c r="Z28" s="28">
        <f t="shared" si="4"/>
        <v>0</v>
      </c>
      <c r="AA28" s="28">
        <f t="shared" si="4"/>
        <v>0</v>
      </c>
      <c r="AB28" s="28">
        <f t="shared" si="4"/>
        <v>0</v>
      </c>
      <c r="AC28" s="28">
        <f t="shared" si="4"/>
        <v>0</v>
      </c>
      <c r="AD28" s="28">
        <f t="shared" si="4"/>
        <v>0</v>
      </c>
      <c r="AE28" s="28">
        <f t="shared" si="4"/>
        <v>0</v>
      </c>
      <c r="AF28" s="28">
        <f t="shared" si="4"/>
        <v>0</v>
      </c>
      <c r="AG28" s="28">
        <f t="shared" si="4"/>
        <v>0</v>
      </c>
      <c r="AH28" s="28">
        <f t="shared" si="4"/>
        <v>0</v>
      </c>
      <c r="AI28" s="28">
        <f t="shared" si="4"/>
        <v>0</v>
      </c>
      <c r="AJ28" s="28">
        <f t="shared" si="4"/>
        <v>0</v>
      </c>
      <c r="AK28" s="28">
        <f t="shared" si="4"/>
        <v>0</v>
      </c>
      <c r="AL28" s="28">
        <f t="shared" si="4"/>
        <v>0</v>
      </c>
      <c r="AM28" s="28">
        <f t="shared" si="4"/>
        <v>0</v>
      </c>
      <c r="AN28" s="28">
        <f t="shared" si="4"/>
        <v>0</v>
      </c>
      <c r="AO28" s="28">
        <f t="shared" si="4"/>
        <v>0</v>
      </c>
      <c r="AP28" s="28">
        <f t="shared" si="4"/>
        <v>0</v>
      </c>
      <c r="AQ28" s="28">
        <f t="shared" si="4"/>
        <v>0</v>
      </c>
    </row>
    <row r="29" spans="1:43">
      <c r="B29" s="25" t="str">
        <f>'Project Assumptions'!B28</f>
        <v xml:space="preserve">Capital Expenditure 4 </v>
      </c>
      <c r="D29" s="28">
        <f t="shared" ref="D29:AQ29" si="5">D46+D62</f>
        <v>0</v>
      </c>
      <c r="E29" s="28">
        <f t="shared" si="5"/>
        <v>0</v>
      </c>
      <c r="F29" s="28">
        <f t="shared" si="5"/>
        <v>0</v>
      </c>
      <c r="G29" s="28">
        <f t="shared" si="5"/>
        <v>66030008.197228216</v>
      </c>
      <c r="H29" s="28">
        <f t="shared" si="5"/>
        <v>2469332.2601552834</v>
      </c>
      <c r="I29" s="28">
        <f t="shared" si="5"/>
        <v>0</v>
      </c>
      <c r="J29" s="28">
        <f t="shared" si="5"/>
        <v>0</v>
      </c>
      <c r="K29" s="28">
        <f t="shared" si="5"/>
        <v>0</v>
      </c>
      <c r="L29" s="28">
        <f t="shared" si="5"/>
        <v>0</v>
      </c>
      <c r="M29" s="28">
        <f t="shared" si="5"/>
        <v>0</v>
      </c>
      <c r="N29" s="28">
        <f t="shared" si="5"/>
        <v>0</v>
      </c>
      <c r="O29" s="28">
        <f t="shared" si="5"/>
        <v>0</v>
      </c>
      <c r="P29" s="28">
        <f t="shared" si="5"/>
        <v>0</v>
      </c>
      <c r="Q29" s="28">
        <f t="shared" si="5"/>
        <v>0</v>
      </c>
      <c r="R29" s="28">
        <f t="shared" si="5"/>
        <v>0</v>
      </c>
      <c r="S29" s="28">
        <f t="shared" si="5"/>
        <v>0</v>
      </c>
      <c r="T29" s="28">
        <f t="shared" si="5"/>
        <v>0</v>
      </c>
      <c r="U29" s="28">
        <f t="shared" si="5"/>
        <v>0</v>
      </c>
      <c r="V29" s="28">
        <f t="shared" si="5"/>
        <v>0</v>
      </c>
      <c r="W29" s="28">
        <f t="shared" si="5"/>
        <v>0</v>
      </c>
      <c r="X29" s="28">
        <f t="shared" si="5"/>
        <v>0</v>
      </c>
      <c r="Y29" s="28">
        <f t="shared" si="5"/>
        <v>0</v>
      </c>
      <c r="Z29" s="28">
        <f t="shared" si="5"/>
        <v>0</v>
      </c>
      <c r="AA29" s="28">
        <f t="shared" si="5"/>
        <v>0</v>
      </c>
      <c r="AB29" s="28">
        <f t="shared" si="5"/>
        <v>0</v>
      </c>
      <c r="AC29" s="28">
        <f t="shared" si="5"/>
        <v>0</v>
      </c>
      <c r="AD29" s="28">
        <f t="shared" si="5"/>
        <v>0</v>
      </c>
      <c r="AE29" s="28">
        <f t="shared" si="5"/>
        <v>0</v>
      </c>
      <c r="AF29" s="28">
        <f t="shared" si="5"/>
        <v>0</v>
      </c>
      <c r="AG29" s="28">
        <f t="shared" si="5"/>
        <v>0</v>
      </c>
      <c r="AH29" s="28">
        <f t="shared" si="5"/>
        <v>0</v>
      </c>
      <c r="AI29" s="28">
        <f t="shared" si="5"/>
        <v>0</v>
      </c>
      <c r="AJ29" s="28">
        <f t="shared" si="5"/>
        <v>0</v>
      </c>
      <c r="AK29" s="28">
        <f t="shared" si="5"/>
        <v>0</v>
      </c>
      <c r="AL29" s="28">
        <f t="shared" si="5"/>
        <v>0</v>
      </c>
      <c r="AM29" s="28">
        <f t="shared" si="5"/>
        <v>0</v>
      </c>
      <c r="AN29" s="28">
        <f t="shared" si="5"/>
        <v>0</v>
      </c>
      <c r="AO29" s="28">
        <f t="shared" si="5"/>
        <v>0</v>
      </c>
      <c r="AP29" s="28">
        <f t="shared" si="5"/>
        <v>0</v>
      </c>
      <c r="AQ29" s="28">
        <f t="shared" si="5"/>
        <v>0</v>
      </c>
    </row>
    <row r="30" spans="1:43">
      <c r="B30" s="25" t="str">
        <f>'Project Assumptions'!B29</f>
        <v xml:space="preserve">Capital Expenditure 5 </v>
      </c>
      <c r="D30" s="28">
        <f t="shared" ref="D30:AQ30" si="6">D47+D63</f>
        <v>0</v>
      </c>
      <c r="E30" s="28">
        <f t="shared" si="6"/>
        <v>0</v>
      </c>
      <c r="F30" s="28">
        <f t="shared" si="6"/>
        <v>0</v>
      </c>
      <c r="G30" s="28">
        <f t="shared" si="6"/>
        <v>0</v>
      </c>
      <c r="H30" s="28">
        <f t="shared" si="6"/>
        <v>68342094.207968891</v>
      </c>
      <c r="I30" s="28">
        <f t="shared" si="6"/>
        <v>2555797.622351246</v>
      </c>
      <c r="J30" s="28">
        <f t="shared" si="6"/>
        <v>0</v>
      </c>
      <c r="K30" s="28">
        <f t="shared" si="6"/>
        <v>0</v>
      </c>
      <c r="L30" s="28">
        <f t="shared" si="6"/>
        <v>0</v>
      </c>
      <c r="M30" s="28">
        <f t="shared" si="6"/>
        <v>0</v>
      </c>
      <c r="N30" s="28">
        <f t="shared" si="6"/>
        <v>0</v>
      </c>
      <c r="O30" s="28">
        <f t="shared" si="6"/>
        <v>0</v>
      </c>
      <c r="P30" s="28">
        <f t="shared" si="6"/>
        <v>0</v>
      </c>
      <c r="Q30" s="28">
        <f t="shared" si="6"/>
        <v>0</v>
      </c>
      <c r="R30" s="28">
        <f t="shared" si="6"/>
        <v>0</v>
      </c>
      <c r="S30" s="28">
        <f t="shared" si="6"/>
        <v>0</v>
      </c>
      <c r="T30" s="28">
        <f t="shared" si="6"/>
        <v>0</v>
      </c>
      <c r="U30" s="28">
        <f t="shared" si="6"/>
        <v>0</v>
      </c>
      <c r="V30" s="28">
        <f t="shared" si="6"/>
        <v>0</v>
      </c>
      <c r="W30" s="28">
        <f t="shared" si="6"/>
        <v>0</v>
      </c>
      <c r="X30" s="28">
        <f t="shared" si="6"/>
        <v>0</v>
      </c>
      <c r="Y30" s="28">
        <f t="shared" si="6"/>
        <v>0</v>
      </c>
      <c r="Z30" s="28">
        <f t="shared" si="6"/>
        <v>0</v>
      </c>
      <c r="AA30" s="28">
        <f t="shared" si="6"/>
        <v>0</v>
      </c>
      <c r="AB30" s="28">
        <f t="shared" si="6"/>
        <v>0</v>
      </c>
      <c r="AC30" s="28">
        <f t="shared" si="6"/>
        <v>0</v>
      </c>
      <c r="AD30" s="28">
        <f t="shared" si="6"/>
        <v>0</v>
      </c>
      <c r="AE30" s="28">
        <f t="shared" si="6"/>
        <v>0</v>
      </c>
      <c r="AF30" s="28">
        <f t="shared" si="6"/>
        <v>0</v>
      </c>
      <c r="AG30" s="28">
        <f t="shared" si="6"/>
        <v>0</v>
      </c>
      <c r="AH30" s="28">
        <f t="shared" si="6"/>
        <v>0</v>
      </c>
      <c r="AI30" s="28">
        <f t="shared" si="6"/>
        <v>0</v>
      </c>
      <c r="AJ30" s="28">
        <f t="shared" si="6"/>
        <v>0</v>
      </c>
      <c r="AK30" s="28">
        <f t="shared" si="6"/>
        <v>0</v>
      </c>
      <c r="AL30" s="28">
        <f t="shared" si="6"/>
        <v>0</v>
      </c>
      <c r="AM30" s="28">
        <f t="shared" si="6"/>
        <v>0</v>
      </c>
      <c r="AN30" s="28">
        <f t="shared" si="6"/>
        <v>0</v>
      </c>
      <c r="AO30" s="28">
        <f t="shared" si="6"/>
        <v>0</v>
      </c>
      <c r="AP30" s="28">
        <f t="shared" si="6"/>
        <v>0</v>
      </c>
      <c r="AQ30" s="28">
        <f t="shared" si="6"/>
        <v>0</v>
      </c>
    </row>
    <row r="31" spans="1:43">
      <c r="B31" s="25" t="str">
        <f>'Project Assumptions'!B30</f>
        <v xml:space="preserve">Capital Expenditure 6 </v>
      </c>
      <c r="D31" s="28">
        <f t="shared" ref="D31:AQ31" si="7">D48+D64</f>
        <v>0</v>
      </c>
      <c r="E31" s="28">
        <f t="shared" si="7"/>
        <v>0</v>
      </c>
      <c r="F31" s="28">
        <f t="shared" si="7"/>
        <v>0</v>
      </c>
      <c r="G31" s="28">
        <f t="shared" si="7"/>
        <v>0</v>
      </c>
      <c r="H31" s="28">
        <f t="shared" si="7"/>
        <v>0</v>
      </c>
      <c r="I31" s="28">
        <f t="shared" si="7"/>
        <v>70392357.034207955</v>
      </c>
      <c r="J31" s="28">
        <f t="shared" si="7"/>
        <v>2632471.5510217827</v>
      </c>
      <c r="K31" s="28">
        <f t="shared" si="7"/>
        <v>0</v>
      </c>
      <c r="L31" s="28">
        <f t="shared" si="7"/>
        <v>0</v>
      </c>
      <c r="M31" s="28">
        <f t="shared" si="7"/>
        <v>0</v>
      </c>
      <c r="N31" s="28">
        <f t="shared" si="7"/>
        <v>0</v>
      </c>
      <c r="O31" s="28">
        <f t="shared" si="7"/>
        <v>0</v>
      </c>
      <c r="P31" s="28">
        <f t="shared" si="7"/>
        <v>0</v>
      </c>
      <c r="Q31" s="28">
        <f t="shared" si="7"/>
        <v>0</v>
      </c>
      <c r="R31" s="28">
        <f t="shared" si="7"/>
        <v>0</v>
      </c>
      <c r="S31" s="28">
        <f t="shared" si="7"/>
        <v>0</v>
      </c>
      <c r="T31" s="28">
        <f t="shared" si="7"/>
        <v>0</v>
      </c>
      <c r="U31" s="28">
        <f t="shared" si="7"/>
        <v>0</v>
      </c>
      <c r="V31" s="28">
        <f t="shared" si="7"/>
        <v>0</v>
      </c>
      <c r="W31" s="28">
        <f t="shared" si="7"/>
        <v>0</v>
      </c>
      <c r="X31" s="28">
        <f t="shared" si="7"/>
        <v>0</v>
      </c>
      <c r="Y31" s="28">
        <f t="shared" si="7"/>
        <v>0</v>
      </c>
      <c r="Z31" s="28">
        <f t="shared" si="7"/>
        <v>0</v>
      </c>
      <c r="AA31" s="28">
        <f t="shared" si="7"/>
        <v>0</v>
      </c>
      <c r="AB31" s="28">
        <f t="shared" si="7"/>
        <v>0</v>
      </c>
      <c r="AC31" s="28">
        <f t="shared" si="7"/>
        <v>0</v>
      </c>
      <c r="AD31" s="28">
        <f t="shared" si="7"/>
        <v>0</v>
      </c>
      <c r="AE31" s="28">
        <f t="shared" si="7"/>
        <v>0</v>
      </c>
      <c r="AF31" s="28">
        <f t="shared" si="7"/>
        <v>0</v>
      </c>
      <c r="AG31" s="28">
        <f t="shared" si="7"/>
        <v>0</v>
      </c>
      <c r="AH31" s="28">
        <f t="shared" si="7"/>
        <v>0</v>
      </c>
      <c r="AI31" s="28">
        <f t="shared" si="7"/>
        <v>0</v>
      </c>
      <c r="AJ31" s="28">
        <f t="shared" si="7"/>
        <v>0</v>
      </c>
      <c r="AK31" s="28">
        <f t="shared" si="7"/>
        <v>0</v>
      </c>
      <c r="AL31" s="28">
        <f t="shared" si="7"/>
        <v>0</v>
      </c>
      <c r="AM31" s="28">
        <f t="shared" si="7"/>
        <v>0</v>
      </c>
      <c r="AN31" s="28">
        <f t="shared" si="7"/>
        <v>0</v>
      </c>
      <c r="AO31" s="28">
        <f t="shared" si="7"/>
        <v>0</v>
      </c>
      <c r="AP31" s="28">
        <f t="shared" si="7"/>
        <v>0</v>
      </c>
      <c r="AQ31" s="28">
        <f t="shared" si="7"/>
        <v>0</v>
      </c>
    </row>
    <row r="32" spans="1:43">
      <c r="B32" s="25" t="str">
        <f>'Project Assumptions'!B31</f>
        <v>Capital Expenditure 7</v>
      </c>
      <c r="D32" s="28">
        <f t="shared" ref="D32:AQ32" si="8">D49+D65</f>
        <v>0</v>
      </c>
      <c r="E32" s="28">
        <f t="shared" si="8"/>
        <v>0</v>
      </c>
      <c r="F32" s="28">
        <f t="shared" si="8"/>
        <v>0</v>
      </c>
      <c r="G32" s="28">
        <f t="shared" si="8"/>
        <v>0</v>
      </c>
      <c r="H32" s="28">
        <f t="shared" si="8"/>
        <v>0</v>
      </c>
      <c r="I32" s="28">
        <f t="shared" si="8"/>
        <v>0</v>
      </c>
      <c r="J32" s="28">
        <f t="shared" si="8"/>
        <v>72504127.745234191</v>
      </c>
      <c r="K32" s="28">
        <f t="shared" si="8"/>
        <v>2711445.697552436</v>
      </c>
      <c r="L32" s="28">
        <f t="shared" si="8"/>
        <v>0</v>
      </c>
      <c r="M32" s="28">
        <f t="shared" si="8"/>
        <v>0</v>
      </c>
      <c r="N32" s="28">
        <f t="shared" si="8"/>
        <v>0</v>
      </c>
      <c r="O32" s="28">
        <f t="shared" si="8"/>
        <v>0</v>
      </c>
      <c r="P32" s="28">
        <f t="shared" si="8"/>
        <v>0</v>
      </c>
      <c r="Q32" s="28">
        <f t="shared" si="8"/>
        <v>0</v>
      </c>
      <c r="R32" s="28">
        <f t="shared" si="8"/>
        <v>0</v>
      </c>
      <c r="S32" s="28">
        <f t="shared" si="8"/>
        <v>0</v>
      </c>
      <c r="T32" s="28">
        <f t="shared" si="8"/>
        <v>0</v>
      </c>
      <c r="U32" s="28">
        <f t="shared" si="8"/>
        <v>0</v>
      </c>
      <c r="V32" s="28">
        <f t="shared" si="8"/>
        <v>0</v>
      </c>
      <c r="W32" s="28">
        <f t="shared" si="8"/>
        <v>0</v>
      </c>
      <c r="X32" s="28">
        <f t="shared" si="8"/>
        <v>0</v>
      </c>
      <c r="Y32" s="28">
        <f t="shared" si="8"/>
        <v>0</v>
      </c>
      <c r="Z32" s="28">
        <f t="shared" si="8"/>
        <v>0</v>
      </c>
      <c r="AA32" s="28">
        <f t="shared" si="8"/>
        <v>0</v>
      </c>
      <c r="AB32" s="28">
        <f t="shared" si="8"/>
        <v>0</v>
      </c>
      <c r="AC32" s="28">
        <f t="shared" si="8"/>
        <v>0</v>
      </c>
      <c r="AD32" s="28">
        <f t="shared" si="8"/>
        <v>0</v>
      </c>
      <c r="AE32" s="28">
        <f t="shared" si="8"/>
        <v>0</v>
      </c>
      <c r="AF32" s="28">
        <f t="shared" si="8"/>
        <v>0</v>
      </c>
      <c r="AG32" s="28">
        <f t="shared" si="8"/>
        <v>0</v>
      </c>
      <c r="AH32" s="28">
        <f t="shared" si="8"/>
        <v>0</v>
      </c>
      <c r="AI32" s="28">
        <f t="shared" si="8"/>
        <v>0</v>
      </c>
      <c r="AJ32" s="28">
        <f t="shared" si="8"/>
        <v>0</v>
      </c>
      <c r="AK32" s="28">
        <f t="shared" si="8"/>
        <v>0</v>
      </c>
      <c r="AL32" s="28">
        <f t="shared" si="8"/>
        <v>0</v>
      </c>
      <c r="AM32" s="28">
        <f t="shared" si="8"/>
        <v>0</v>
      </c>
      <c r="AN32" s="28">
        <f t="shared" si="8"/>
        <v>0</v>
      </c>
      <c r="AO32" s="28">
        <f t="shared" si="8"/>
        <v>0</v>
      </c>
      <c r="AP32" s="28">
        <f t="shared" si="8"/>
        <v>0</v>
      </c>
      <c r="AQ32" s="28">
        <f t="shared" si="8"/>
        <v>0</v>
      </c>
    </row>
    <row r="33" spans="1:43">
      <c r="B33" s="25" t="str">
        <f>'Project Assumptions'!B32</f>
        <v>Capital Expenditure 8</v>
      </c>
      <c r="D33" s="28">
        <f t="shared" ref="D33:AQ33" si="9">D50+D66</f>
        <v>0</v>
      </c>
      <c r="E33" s="28">
        <f t="shared" si="9"/>
        <v>0</v>
      </c>
      <c r="F33" s="28">
        <f t="shared" si="9"/>
        <v>0</v>
      </c>
      <c r="G33" s="28">
        <f t="shared" si="9"/>
        <v>0</v>
      </c>
      <c r="H33" s="28">
        <f t="shared" si="9"/>
        <v>0</v>
      </c>
      <c r="I33" s="28">
        <f t="shared" si="9"/>
        <v>0</v>
      </c>
      <c r="J33" s="28">
        <f t="shared" si="9"/>
        <v>0</v>
      </c>
      <c r="K33" s="28">
        <f t="shared" si="9"/>
        <v>62643175.812473096</v>
      </c>
      <c r="L33" s="28">
        <f t="shared" si="9"/>
        <v>2342674.4768875004</v>
      </c>
      <c r="M33" s="28">
        <f t="shared" si="9"/>
        <v>0</v>
      </c>
      <c r="N33" s="28">
        <f t="shared" si="9"/>
        <v>0</v>
      </c>
      <c r="O33" s="28">
        <f t="shared" si="9"/>
        <v>0</v>
      </c>
      <c r="P33" s="28">
        <f t="shared" si="9"/>
        <v>0</v>
      </c>
      <c r="Q33" s="28">
        <f t="shared" si="9"/>
        <v>0</v>
      </c>
      <c r="R33" s="28">
        <f t="shared" si="9"/>
        <v>0</v>
      </c>
      <c r="S33" s="28">
        <f t="shared" si="9"/>
        <v>0</v>
      </c>
      <c r="T33" s="28">
        <f t="shared" si="9"/>
        <v>0</v>
      </c>
      <c r="U33" s="28">
        <f t="shared" si="9"/>
        <v>0</v>
      </c>
      <c r="V33" s="28">
        <f t="shared" si="9"/>
        <v>0</v>
      </c>
      <c r="W33" s="28">
        <f t="shared" si="9"/>
        <v>0</v>
      </c>
      <c r="X33" s="28">
        <f t="shared" si="9"/>
        <v>0</v>
      </c>
      <c r="Y33" s="28">
        <f t="shared" si="9"/>
        <v>0</v>
      </c>
      <c r="Z33" s="28">
        <f t="shared" si="9"/>
        <v>0</v>
      </c>
      <c r="AA33" s="28">
        <f t="shared" si="9"/>
        <v>0</v>
      </c>
      <c r="AB33" s="28">
        <f t="shared" si="9"/>
        <v>0</v>
      </c>
      <c r="AC33" s="28">
        <f t="shared" si="9"/>
        <v>0</v>
      </c>
      <c r="AD33" s="28">
        <f t="shared" si="9"/>
        <v>0</v>
      </c>
      <c r="AE33" s="28">
        <f t="shared" si="9"/>
        <v>0</v>
      </c>
      <c r="AF33" s="28">
        <f t="shared" si="9"/>
        <v>0</v>
      </c>
      <c r="AG33" s="28">
        <f t="shared" si="9"/>
        <v>0</v>
      </c>
      <c r="AH33" s="28">
        <f t="shared" si="9"/>
        <v>0</v>
      </c>
      <c r="AI33" s="28">
        <f t="shared" si="9"/>
        <v>0</v>
      </c>
      <c r="AJ33" s="28">
        <f t="shared" si="9"/>
        <v>0</v>
      </c>
      <c r="AK33" s="28">
        <f t="shared" si="9"/>
        <v>0</v>
      </c>
      <c r="AL33" s="28">
        <f t="shared" si="9"/>
        <v>0</v>
      </c>
      <c r="AM33" s="28">
        <f t="shared" si="9"/>
        <v>0</v>
      </c>
      <c r="AN33" s="28">
        <f t="shared" si="9"/>
        <v>0</v>
      </c>
      <c r="AO33" s="28">
        <f t="shared" si="9"/>
        <v>0</v>
      </c>
      <c r="AP33" s="28">
        <f t="shared" si="9"/>
        <v>0</v>
      </c>
      <c r="AQ33" s="28">
        <f t="shared" si="9"/>
        <v>0</v>
      </c>
    </row>
    <row r="34" spans="1:43">
      <c r="A34" s="50"/>
      <c r="B34" s="25" t="str">
        <f>'Project Assumptions'!B33</f>
        <v>Capital Expenditure 9</v>
      </c>
      <c r="D34" s="28">
        <f t="shared" ref="D34" si="10">D51+D67</f>
        <v>0</v>
      </c>
      <c r="E34" s="28">
        <f t="shared" ref="E34:AQ34" si="11">E51+E67</f>
        <v>0</v>
      </c>
      <c r="F34" s="28">
        <f t="shared" si="11"/>
        <v>0</v>
      </c>
      <c r="G34" s="28">
        <f t="shared" si="11"/>
        <v>0</v>
      </c>
      <c r="H34" s="28">
        <f t="shared" si="11"/>
        <v>0</v>
      </c>
      <c r="I34" s="28">
        <f t="shared" si="11"/>
        <v>0</v>
      </c>
      <c r="J34" s="28">
        <f t="shared" si="11"/>
        <v>0</v>
      </c>
      <c r="K34" s="28">
        <f t="shared" si="11"/>
        <v>0</v>
      </c>
      <c r="L34" s="28">
        <f t="shared" si="11"/>
        <v>611511.5245619117</v>
      </c>
      <c r="M34" s="28">
        <f t="shared" si="11"/>
        <v>22868.770976782278</v>
      </c>
      <c r="N34" s="28">
        <f t="shared" si="11"/>
        <v>0</v>
      </c>
      <c r="O34" s="28">
        <f t="shared" si="11"/>
        <v>0</v>
      </c>
      <c r="P34" s="28">
        <f t="shared" si="11"/>
        <v>0</v>
      </c>
      <c r="Q34" s="28">
        <f t="shared" si="11"/>
        <v>0</v>
      </c>
      <c r="R34" s="28">
        <f t="shared" si="11"/>
        <v>0</v>
      </c>
      <c r="S34" s="28">
        <f t="shared" si="11"/>
        <v>0</v>
      </c>
      <c r="T34" s="28">
        <f t="shared" si="11"/>
        <v>0</v>
      </c>
      <c r="U34" s="28">
        <f t="shared" si="11"/>
        <v>0</v>
      </c>
      <c r="V34" s="28">
        <f t="shared" si="11"/>
        <v>0</v>
      </c>
      <c r="W34" s="28">
        <f t="shared" si="11"/>
        <v>0</v>
      </c>
      <c r="X34" s="28">
        <f t="shared" si="11"/>
        <v>0</v>
      </c>
      <c r="Y34" s="28">
        <f t="shared" si="11"/>
        <v>0</v>
      </c>
      <c r="Z34" s="28">
        <f t="shared" si="11"/>
        <v>0</v>
      </c>
      <c r="AA34" s="28">
        <f t="shared" si="11"/>
        <v>0</v>
      </c>
      <c r="AB34" s="28">
        <f t="shared" si="11"/>
        <v>0</v>
      </c>
      <c r="AC34" s="28">
        <f t="shared" si="11"/>
        <v>0</v>
      </c>
      <c r="AD34" s="28">
        <f t="shared" si="11"/>
        <v>0</v>
      </c>
      <c r="AE34" s="28">
        <f t="shared" si="11"/>
        <v>0</v>
      </c>
      <c r="AF34" s="28">
        <f t="shared" si="11"/>
        <v>0</v>
      </c>
      <c r="AG34" s="28">
        <f t="shared" si="11"/>
        <v>0</v>
      </c>
      <c r="AH34" s="28">
        <f t="shared" si="11"/>
        <v>0</v>
      </c>
      <c r="AI34" s="28">
        <f t="shared" si="11"/>
        <v>0</v>
      </c>
      <c r="AJ34" s="28">
        <f t="shared" si="11"/>
        <v>0</v>
      </c>
      <c r="AK34" s="28">
        <f t="shared" si="11"/>
        <v>0</v>
      </c>
      <c r="AL34" s="28">
        <f t="shared" si="11"/>
        <v>0</v>
      </c>
      <c r="AM34" s="28">
        <f t="shared" si="11"/>
        <v>0</v>
      </c>
      <c r="AN34" s="28">
        <f t="shared" si="11"/>
        <v>0</v>
      </c>
      <c r="AO34" s="28">
        <f t="shared" si="11"/>
        <v>0</v>
      </c>
      <c r="AP34" s="28">
        <f t="shared" si="11"/>
        <v>0</v>
      </c>
      <c r="AQ34" s="28">
        <f t="shared" si="11"/>
        <v>0</v>
      </c>
    </row>
    <row r="35" spans="1:43">
      <c r="B35" s="25" t="str">
        <f>'Project Assumptions'!B34</f>
        <v>Capital Expenditure 10</v>
      </c>
      <c r="D35" s="28">
        <f t="shared" ref="D35:F35" si="12">D52+D68</f>
        <v>0</v>
      </c>
      <c r="E35" s="28">
        <f t="shared" si="12"/>
        <v>0</v>
      </c>
      <c r="F35" s="28">
        <f t="shared" si="12"/>
        <v>0</v>
      </c>
      <c r="G35" s="28">
        <f t="shared" ref="G35:AQ37" si="13">G52+G68</f>
        <v>0</v>
      </c>
      <c r="H35" s="28">
        <f t="shared" si="13"/>
        <v>0</v>
      </c>
      <c r="I35" s="28">
        <f t="shared" si="13"/>
        <v>0</v>
      </c>
      <c r="J35" s="28">
        <f t="shared" si="13"/>
        <v>0</v>
      </c>
      <c r="K35" s="28">
        <f t="shared" si="13"/>
        <v>0</v>
      </c>
      <c r="L35" s="28">
        <f t="shared" si="13"/>
        <v>0</v>
      </c>
      <c r="M35" s="28">
        <f t="shared" si="13"/>
        <v>521997.5866385714</v>
      </c>
      <c r="N35" s="28">
        <f t="shared" si="13"/>
        <v>19521.207335908457</v>
      </c>
      <c r="O35" s="28">
        <f t="shared" si="13"/>
        <v>0</v>
      </c>
      <c r="P35" s="28">
        <f t="shared" si="13"/>
        <v>0</v>
      </c>
      <c r="Q35" s="28">
        <f t="shared" si="13"/>
        <v>0</v>
      </c>
      <c r="R35" s="28">
        <f t="shared" si="13"/>
        <v>0</v>
      </c>
      <c r="S35" s="28">
        <f t="shared" si="13"/>
        <v>0</v>
      </c>
      <c r="T35" s="28">
        <f t="shared" si="13"/>
        <v>0</v>
      </c>
      <c r="U35" s="28">
        <f t="shared" si="13"/>
        <v>0</v>
      </c>
      <c r="V35" s="28">
        <f t="shared" si="13"/>
        <v>0</v>
      </c>
      <c r="W35" s="28">
        <f t="shared" si="13"/>
        <v>0</v>
      </c>
      <c r="X35" s="28">
        <f t="shared" si="13"/>
        <v>0</v>
      </c>
      <c r="Y35" s="28">
        <f t="shared" si="13"/>
        <v>0</v>
      </c>
      <c r="Z35" s="28">
        <f t="shared" si="13"/>
        <v>0</v>
      </c>
      <c r="AA35" s="28">
        <f t="shared" si="13"/>
        <v>0</v>
      </c>
      <c r="AB35" s="28">
        <f t="shared" si="13"/>
        <v>0</v>
      </c>
      <c r="AC35" s="28">
        <f t="shared" si="13"/>
        <v>0</v>
      </c>
      <c r="AD35" s="28">
        <f t="shared" si="13"/>
        <v>0</v>
      </c>
      <c r="AE35" s="28">
        <f t="shared" si="13"/>
        <v>0</v>
      </c>
      <c r="AF35" s="28">
        <f t="shared" si="13"/>
        <v>0</v>
      </c>
      <c r="AG35" s="28">
        <f t="shared" si="13"/>
        <v>0</v>
      </c>
      <c r="AH35" s="28">
        <f t="shared" si="13"/>
        <v>0</v>
      </c>
      <c r="AI35" s="28">
        <f t="shared" si="13"/>
        <v>0</v>
      </c>
      <c r="AJ35" s="28">
        <f t="shared" si="13"/>
        <v>0</v>
      </c>
      <c r="AK35" s="28">
        <f t="shared" si="13"/>
        <v>0</v>
      </c>
      <c r="AL35" s="28">
        <f t="shared" si="13"/>
        <v>0</v>
      </c>
      <c r="AM35" s="28">
        <f t="shared" si="13"/>
        <v>0</v>
      </c>
      <c r="AN35" s="28">
        <f t="shared" si="13"/>
        <v>0</v>
      </c>
      <c r="AO35" s="28">
        <f t="shared" si="13"/>
        <v>0</v>
      </c>
      <c r="AP35" s="28">
        <f t="shared" si="13"/>
        <v>0</v>
      </c>
      <c r="AQ35" s="28">
        <f t="shared" si="13"/>
        <v>0</v>
      </c>
    </row>
    <row r="36" spans="1:43">
      <c r="B36" s="25" t="str">
        <f>'Project Assumptions'!B35</f>
        <v>Capital Expenditure 11</v>
      </c>
      <c r="D36" s="28">
        <f t="shared" ref="D36:G36" si="14">D53+D69</f>
        <v>0</v>
      </c>
      <c r="E36" s="28">
        <f t="shared" si="14"/>
        <v>0</v>
      </c>
      <c r="F36" s="28">
        <f t="shared" si="14"/>
        <v>0</v>
      </c>
      <c r="G36" s="28">
        <f t="shared" si="14"/>
        <v>0</v>
      </c>
      <c r="H36" s="28">
        <f t="shared" si="13"/>
        <v>0</v>
      </c>
      <c r="I36" s="28">
        <f t="shared" si="13"/>
        <v>0</v>
      </c>
      <c r="J36" s="28">
        <f t="shared" si="13"/>
        <v>0</v>
      </c>
      <c r="K36" s="28">
        <f t="shared" si="13"/>
        <v>0</v>
      </c>
      <c r="L36" s="28">
        <f t="shared" si="13"/>
        <v>0</v>
      </c>
      <c r="M36" s="28">
        <f t="shared" si="13"/>
        <v>0</v>
      </c>
      <c r="N36" s="28">
        <f t="shared" si="13"/>
        <v>527557.96313136467</v>
      </c>
      <c r="O36" s="28">
        <f t="shared" si="13"/>
        <v>19729.149412960021</v>
      </c>
      <c r="P36" s="28">
        <f t="shared" si="13"/>
        <v>0</v>
      </c>
      <c r="Q36" s="28">
        <f t="shared" si="13"/>
        <v>0</v>
      </c>
      <c r="R36" s="28">
        <f t="shared" si="13"/>
        <v>0</v>
      </c>
      <c r="S36" s="28">
        <f t="shared" si="13"/>
        <v>0</v>
      </c>
      <c r="T36" s="28">
        <f t="shared" si="13"/>
        <v>0</v>
      </c>
      <c r="U36" s="28">
        <f t="shared" si="13"/>
        <v>0</v>
      </c>
      <c r="V36" s="28">
        <f t="shared" si="13"/>
        <v>0</v>
      </c>
      <c r="W36" s="28">
        <f t="shared" si="13"/>
        <v>0</v>
      </c>
      <c r="X36" s="28">
        <f t="shared" si="13"/>
        <v>0</v>
      </c>
      <c r="Y36" s="28">
        <f t="shared" si="13"/>
        <v>0</v>
      </c>
      <c r="Z36" s="28">
        <f t="shared" si="13"/>
        <v>0</v>
      </c>
      <c r="AA36" s="28">
        <f t="shared" si="13"/>
        <v>0</v>
      </c>
      <c r="AB36" s="28">
        <f t="shared" si="13"/>
        <v>0</v>
      </c>
      <c r="AC36" s="28">
        <f t="shared" si="13"/>
        <v>0</v>
      </c>
      <c r="AD36" s="28">
        <f t="shared" si="13"/>
        <v>0</v>
      </c>
      <c r="AE36" s="28">
        <f t="shared" si="13"/>
        <v>0</v>
      </c>
      <c r="AF36" s="28">
        <f t="shared" si="13"/>
        <v>0</v>
      </c>
      <c r="AG36" s="28">
        <f t="shared" si="13"/>
        <v>0</v>
      </c>
      <c r="AH36" s="28">
        <f t="shared" si="13"/>
        <v>0</v>
      </c>
      <c r="AI36" s="28">
        <f t="shared" si="13"/>
        <v>0</v>
      </c>
      <c r="AJ36" s="28">
        <f t="shared" si="13"/>
        <v>0</v>
      </c>
      <c r="AK36" s="28">
        <f t="shared" si="13"/>
        <v>0</v>
      </c>
      <c r="AL36" s="28">
        <f t="shared" si="13"/>
        <v>0</v>
      </c>
      <c r="AM36" s="28">
        <f t="shared" si="13"/>
        <v>0</v>
      </c>
      <c r="AN36" s="28">
        <f t="shared" si="13"/>
        <v>0</v>
      </c>
      <c r="AO36" s="28">
        <f t="shared" si="13"/>
        <v>0</v>
      </c>
      <c r="AP36" s="28">
        <f t="shared" si="13"/>
        <v>0</v>
      </c>
      <c r="AQ36" s="28">
        <f t="shared" si="13"/>
        <v>0</v>
      </c>
    </row>
    <row r="37" spans="1:43">
      <c r="B37" s="25" t="str">
        <f>'Project Assumptions'!B36</f>
        <v>Capital Expenditure 12</v>
      </c>
      <c r="D37" s="28">
        <f t="shared" ref="D37" si="15">D54+D70</f>
        <v>0</v>
      </c>
      <c r="E37" s="28">
        <f t="shared" ref="E37:N37" si="16">E54+E70</f>
        <v>0</v>
      </c>
      <c r="F37" s="28">
        <f t="shared" si="16"/>
        <v>0</v>
      </c>
      <c r="G37" s="28">
        <f t="shared" si="16"/>
        <v>0</v>
      </c>
      <c r="H37" s="28">
        <f t="shared" si="16"/>
        <v>0</v>
      </c>
      <c r="I37" s="28">
        <f t="shared" si="16"/>
        <v>0</v>
      </c>
      <c r="J37" s="28">
        <f t="shared" si="16"/>
        <v>0</v>
      </c>
      <c r="K37" s="28">
        <f t="shared" si="16"/>
        <v>0</v>
      </c>
      <c r="L37" s="28">
        <f t="shared" si="16"/>
        <v>0</v>
      </c>
      <c r="M37" s="28">
        <f t="shared" si="16"/>
        <v>0</v>
      </c>
      <c r="N37" s="28">
        <f t="shared" si="16"/>
        <v>0</v>
      </c>
      <c r="O37" s="28">
        <f t="shared" si="13"/>
        <v>543384.70202530548</v>
      </c>
      <c r="P37" s="28">
        <f t="shared" si="13"/>
        <v>20321.023895348819</v>
      </c>
      <c r="Q37" s="28">
        <f t="shared" ref="Q37:AQ37" si="17">Q54+Q70</f>
        <v>0</v>
      </c>
      <c r="R37" s="28">
        <f t="shared" si="17"/>
        <v>0</v>
      </c>
      <c r="S37" s="28">
        <f t="shared" si="17"/>
        <v>0</v>
      </c>
      <c r="T37" s="28">
        <f t="shared" si="17"/>
        <v>0</v>
      </c>
      <c r="U37" s="28">
        <f t="shared" si="17"/>
        <v>0</v>
      </c>
      <c r="V37" s="28">
        <f t="shared" si="17"/>
        <v>0</v>
      </c>
      <c r="W37" s="28">
        <f t="shared" si="17"/>
        <v>0</v>
      </c>
      <c r="X37" s="28">
        <f t="shared" si="17"/>
        <v>0</v>
      </c>
      <c r="Y37" s="28">
        <f t="shared" si="17"/>
        <v>0</v>
      </c>
      <c r="Z37" s="28">
        <f t="shared" si="17"/>
        <v>0</v>
      </c>
      <c r="AA37" s="28">
        <f t="shared" si="17"/>
        <v>0</v>
      </c>
      <c r="AB37" s="28">
        <f t="shared" si="17"/>
        <v>0</v>
      </c>
      <c r="AC37" s="28">
        <f t="shared" si="17"/>
        <v>0</v>
      </c>
      <c r="AD37" s="28">
        <f t="shared" si="17"/>
        <v>0</v>
      </c>
      <c r="AE37" s="28">
        <f t="shared" si="17"/>
        <v>0</v>
      </c>
      <c r="AF37" s="28">
        <f t="shared" si="17"/>
        <v>0</v>
      </c>
      <c r="AG37" s="28">
        <f t="shared" si="17"/>
        <v>0</v>
      </c>
      <c r="AH37" s="28">
        <f t="shared" si="17"/>
        <v>0</v>
      </c>
      <c r="AI37" s="28">
        <f t="shared" si="17"/>
        <v>0</v>
      </c>
      <c r="AJ37" s="28">
        <f t="shared" si="17"/>
        <v>0</v>
      </c>
      <c r="AK37" s="28">
        <f t="shared" si="17"/>
        <v>0</v>
      </c>
      <c r="AL37" s="28">
        <f t="shared" si="17"/>
        <v>0</v>
      </c>
      <c r="AM37" s="28">
        <f t="shared" si="17"/>
        <v>0</v>
      </c>
      <c r="AN37" s="28">
        <f t="shared" si="17"/>
        <v>0</v>
      </c>
      <c r="AO37" s="28">
        <f t="shared" si="17"/>
        <v>0</v>
      </c>
      <c r="AP37" s="28">
        <f t="shared" si="17"/>
        <v>0</v>
      </c>
      <c r="AQ37" s="28">
        <f t="shared" si="17"/>
        <v>0</v>
      </c>
    </row>
    <row r="38" spans="1:43">
      <c r="B38" s="25" t="s">
        <v>32</v>
      </c>
      <c r="C38" s="329"/>
      <c r="D38" s="29">
        <f t="shared" ref="D38" si="18">D55+D71</f>
        <v>20562818.227624059</v>
      </c>
      <c r="E38" s="29">
        <f t="shared" ref="E38:AQ38" si="19">SUM(E26:E37)</f>
        <v>34367599.822113626</v>
      </c>
      <c r="F38" s="29">
        <f t="shared" si="19"/>
        <v>80940587.735026672</v>
      </c>
      <c r="G38" s="29">
        <f t="shared" si="19"/>
        <v>69009964.058657989</v>
      </c>
      <c r="H38" s="29">
        <f t="shared" si="19"/>
        <v>70811426.468124181</v>
      </c>
      <c r="I38" s="29">
        <f t="shared" si="19"/>
        <v>72948154.656559199</v>
      </c>
      <c r="J38" s="29">
        <f t="shared" si="19"/>
        <v>75136599.296255976</v>
      </c>
      <c r="K38" s="29">
        <f t="shared" si="19"/>
        <v>65354621.510025531</v>
      </c>
      <c r="L38" s="29">
        <f t="shared" si="19"/>
        <v>2954186.0014494122</v>
      </c>
      <c r="M38" s="29">
        <f t="shared" si="19"/>
        <v>544866.35761535366</v>
      </c>
      <c r="N38" s="29">
        <f t="shared" si="19"/>
        <v>547079.1704672731</v>
      </c>
      <c r="O38" s="29">
        <f t="shared" si="19"/>
        <v>563113.85143826553</v>
      </c>
      <c r="P38" s="29">
        <f t="shared" si="19"/>
        <v>20321.023895348819</v>
      </c>
      <c r="Q38" s="29">
        <f t="shared" si="19"/>
        <v>0</v>
      </c>
      <c r="R38" s="29">
        <f t="shared" si="19"/>
        <v>0</v>
      </c>
      <c r="S38" s="29">
        <f t="shared" si="19"/>
        <v>0</v>
      </c>
      <c r="T38" s="29">
        <f t="shared" si="19"/>
        <v>0</v>
      </c>
      <c r="U38" s="29">
        <f t="shared" si="19"/>
        <v>0</v>
      </c>
      <c r="V38" s="29">
        <f t="shared" si="19"/>
        <v>0</v>
      </c>
      <c r="W38" s="29">
        <f t="shared" si="19"/>
        <v>0</v>
      </c>
      <c r="X38" s="29">
        <f t="shared" si="19"/>
        <v>0</v>
      </c>
      <c r="Y38" s="29">
        <f t="shared" si="19"/>
        <v>0</v>
      </c>
      <c r="Z38" s="29">
        <f t="shared" si="19"/>
        <v>0</v>
      </c>
      <c r="AA38" s="29">
        <f t="shared" si="19"/>
        <v>0</v>
      </c>
      <c r="AB38" s="29">
        <f t="shared" si="19"/>
        <v>0</v>
      </c>
      <c r="AC38" s="29">
        <f t="shared" si="19"/>
        <v>0</v>
      </c>
      <c r="AD38" s="29">
        <f t="shared" si="19"/>
        <v>0</v>
      </c>
      <c r="AE38" s="29">
        <f t="shared" si="19"/>
        <v>0</v>
      </c>
      <c r="AF38" s="29">
        <f t="shared" si="19"/>
        <v>0</v>
      </c>
      <c r="AG38" s="29">
        <f t="shared" si="19"/>
        <v>0</v>
      </c>
      <c r="AH38" s="29">
        <f t="shared" si="19"/>
        <v>0</v>
      </c>
      <c r="AI38" s="29">
        <f t="shared" si="19"/>
        <v>0</v>
      </c>
      <c r="AJ38" s="29">
        <f t="shared" si="19"/>
        <v>0</v>
      </c>
      <c r="AK38" s="29">
        <f t="shared" si="19"/>
        <v>0</v>
      </c>
      <c r="AL38" s="29">
        <f t="shared" si="19"/>
        <v>0</v>
      </c>
      <c r="AM38" s="29">
        <f t="shared" si="19"/>
        <v>0</v>
      </c>
      <c r="AN38" s="29">
        <f t="shared" si="19"/>
        <v>0</v>
      </c>
      <c r="AO38" s="29">
        <f t="shared" si="19"/>
        <v>0</v>
      </c>
      <c r="AP38" s="29">
        <f t="shared" si="19"/>
        <v>0</v>
      </c>
      <c r="AQ38" s="29">
        <f t="shared" si="19"/>
        <v>0</v>
      </c>
    </row>
    <row r="40" spans="1:43">
      <c r="B40" s="25"/>
      <c r="C40" s="329"/>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row>
    <row r="41" spans="1:43">
      <c r="B41" s="25"/>
      <c r="C41" s="329"/>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row>
    <row r="42" spans="1:43">
      <c r="B42" s="27" t="s">
        <v>34</v>
      </c>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row>
    <row r="43" spans="1:43">
      <c r="B43" s="25" t="str">
        <f t="shared" ref="B43:B51" si="20">B26</f>
        <v>Capital Expenditure 1</v>
      </c>
      <c r="D43" s="28">
        <f>'Project Assumptions'!I25</f>
        <v>19793828.009456668</v>
      </c>
      <c r="E43" s="28">
        <f>'Project Assumptions'!J25</f>
        <v>0</v>
      </c>
      <c r="F43" s="28">
        <f>'Project Assumptions'!K25</f>
        <v>0</v>
      </c>
      <c r="G43" s="28">
        <f>'Project Assumptions'!L25</f>
        <v>0</v>
      </c>
      <c r="H43" s="28">
        <f>'Project Assumptions'!M25</f>
        <v>0</v>
      </c>
      <c r="I43" s="28">
        <f>'Project Assumptions'!N25</f>
        <v>0</v>
      </c>
      <c r="J43" s="28">
        <f>'Project Assumptions'!O25</f>
        <v>0</v>
      </c>
      <c r="K43" s="28">
        <f>'Project Assumptions'!P25</f>
        <v>0</v>
      </c>
      <c r="L43" s="28">
        <f>'Project Assumptions'!Q25</f>
        <v>0</v>
      </c>
      <c r="M43" s="28">
        <f>'Project Assumptions'!R25</f>
        <v>0</v>
      </c>
      <c r="N43" s="28">
        <f>'Project Assumptions'!S25</f>
        <v>0</v>
      </c>
      <c r="O43" s="28">
        <f>'Project Assumptions'!T25</f>
        <v>0</v>
      </c>
      <c r="P43" s="28">
        <f>'Project Assumptions'!U25</f>
        <v>0</v>
      </c>
      <c r="Q43" s="28">
        <f>'Project Assumptions'!V25</f>
        <v>0</v>
      </c>
      <c r="R43" s="28">
        <f>'Project Assumptions'!W25</f>
        <v>0</v>
      </c>
      <c r="S43" s="28">
        <f>'Project Assumptions'!X25</f>
        <v>0</v>
      </c>
      <c r="T43" s="28">
        <f>'Project Assumptions'!Y25</f>
        <v>0</v>
      </c>
      <c r="U43" s="28">
        <f>'Project Assumptions'!Z25</f>
        <v>0</v>
      </c>
      <c r="V43" s="28">
        <f>'Project Assumptions'!AA25</f>
        <v>0</v>
      </c>
      <c r="W43" s="28">
        <f>'Project Assumptions'!AB25</f>
        <v>0</v>
      </c>
      <c r="X43" s="28">
        <f>'Project Assumptions'!AC25</f>
        <v>0</v>
      </c>
      <c r="Y43" s="28">
        <f>'Project Assumptions'!AD25</f>
        <v>0</v>
      </c>
      <c r="Z43" s="28">
        <f>'Project Assumptions'!AE25</f>
        <v>0</v>
      </c>
      <c r="AA43" s="28">
        <f>'Project Assumptions'!AF25</f>
        <v>0</v>
      </c>
      <c r="AB43" s="28">
        <f>'Project Assumptions'!AG25</f>
        <v>0</v>
      </c>
      <c r="AC43" s="28">
        <f>'Project Assumptions'!AH25</f>
        <v>0</v>
      </c>
      <c r="AD43" s="28">
        <f>'Project Assumptions'!AI25</f>
        <v>0</v>
      </c>
      <c r="AE43" s="28">
        <f>'Project Assumptions'!AJ25</f>
        <v>0</v>
      </c>
      <c r="AF43" s="28">
        <f>'Project Assumptions'!AK25</f>
        <v>0</v>
      </c>
      <c r="AG43" s="28">
        <f>'Project Assumptions'!AL25</f>
        <v>0</v>
      </c>
      <c r="AH43" s="28">
        <f>'Project Assumptions'!AM25</f>
        <v>0</v>
      </c>
      <c r="AI43" s="28">
        <f>'Project Assumptions'!AN25</f>
        <v>0</v>
      </c>
      <c r="AJ43" s="28">
        <f>'Project Assumptions'!AO25</f>
        <v>0</v>
      </c>
      <c r="AK43" s="28">
        <f>'Project Assumptions'!AP25</f>
        <v>0</v>
      </c>
      <c r="AL43" s="28">
        <f>'Project Assumptions'!AQ25</f>
        <v>0</v>
      </c>
      <c r="AM43" s="28">
        <f>'Project Assumptions'!AR25</f>
        <v>0</v>
      </c>
      <c r="AN43" s="28">
        <f>'Project Assumptions'!AS25</f>
        <v>0</v>
      </c>
      <c r="AO43" s="28">
        <f>'Project Assumptions'!AT25</f>
        <v>0</v>
      </c>
      <c r="AP43" s="28">
        <f>'Project Assumptions'!AU25</f>
        <v>0</v>
      </c>
      <c r="AQ43" s="28">
        <f>'Project Assumptions'!AV25</f>
        <v>0</v>
      </c>
    </row>
    <row r="44" spans="1:43">
      <c r="B44" s="25" t="str">
        <f t="shared" si="20"/>
        <v>Capital Expenditure 2</v>
      </c>
      <c r="D44" s="28">
        <f>'Project Assumptions'!I26</f>
        <v>0</v>
      </c>
      <c r="E44" s="28">
        <f>'Project Assumptions'!J26</f>
        <v>32342118.307692379</v>
      </c>
      <c r="F44" s="28">
        <f>'Project Assumptions'!K26</f>
        <v>0</v>
      </c>
      <c r="G44" s="28">
        <f>'Project Assumptions'!L26</f>
        <v>0</v>
      </c>
      <c r="H44" s="28">
        <f>'Project Assumptions'!M26</f>
        <v>0</v>
      </c>
      <c r="I44" s="28">
        <f>'Project Assumptions'!N26</f>
        <v>0</v>
      </c>
      <c r="J44" s="28">
        <f>'Project Assumptions'!O26</f>
        <v>0</v>
      </c>
      <c r="K44" s="28">
        <f>'Project Assumptions'!P26</f>
        <v>0</v>
      </c>
      <c r="L44" s="28">
        <f>'Project Assumptions'!Q26</f>
        <v>0</v>
      </c>
      <c r="M44" s="28">
        <f>'Project Assumptions'!R26</f>
        <v>0</v>
      </c>
      <c r="N44" s="28">
        <f>'Project Assumptions'!S26</f>
        <v>0</v>
      </c>
      <c r="O44" s="28">
        <f>'Project Assumptions'!T26</f>
        <v>0</v>
      </c>
      <c r="P44" s="28">
        <f>'Project Assumptions'!U26</f>
        <v>0</v>
      </c>
      <c r="Q44" s="28">
        <f>'Project Assumptions'!V26</f>
        <v>0</v>
      </c>
      <c r="R44" s="28">
        <f>'Project Assumptions'!W26</f>
        <v>0</v>
      </c>
      <c r="S44" s="28">
        <f>'Project Assumptions'!X26</f>
        <v>0</v>
      </c>
      <c r="T44" s="28">
        <f>'Project Assumptions'!Y26</f>
        <v>0</v>
      </c>
      <c r="U44" s="28">
        <f>'Project Assumptions'!Z26</f>
        <v>0</v>
      </c>
      <c r="V44" s="28">
        <f>'Project Assumptions'!AA26</f>
        <v>0</v>
      </c>
      <c r="W44" s="28">
        <f>'Project Assumptions'!AB26</f>
        <v>0</v>
      </c>
      <c r="X44" s="28">
        <f>'Project Assumptions'!AC26</f>
        <v>0</v>
      </c>
      <c r="Y44" s="28">
        <f>'Project Assumptions'!AD26</f>
        <v>0</v>
      </c>
      <c r="Z44" s="28">
        <f>'Project Assumptions'!AE26</f>
        <v>0</v>
      </c>
      <c r="AA44" s="28">
        <f>'Project Assumptions'!AF26</f>
        <v>0</v>
      </c>
      <c r="AB44" s="28">
        <f>'Project Assumptions'!AG26</f>
        <v>0</v>
      </c>
      <c r="AC44" s="28">
        <f>'Project Assumptions'!AH26</f>
        <v>0</v>
      </c>
      <c r="AD44" s="28">
        <f>'Project Assumptions'!AI26</f>
        <v>0</v>
      </c>
      <c r="AE44" s="28">
        <f>'Project Assumptions'!AJ26</f>
        <v>0</v>
      </c>
      <c r="AF44" s="28">
        <f>'Project Assumptions'!AK26</f>
        <v>0</v>
      </c>
      <c r="AG44" s="28">
        <f>'Project Assumptions'!AL26</f>
        <v>0</v>
      </c>
      <c r="AH44" s="28">
        <f>'Project Assumptions'!AM26</f>
        <v>0</v>
      </c>
      <c r="AI44" s="28">
        <f>'Project Assumptions'!AN26</f>
        <v>0</v>
      </c>
      <c r="AJ44" s="28">
        <f>'Project Assumptions'!AO26</f>
        <v>0</v>
      </c>
      <c r="AK44" s="28">
        <f>'Project Assumptions'!AP26</f>
        <v>0</v>
      </c>
      <c r="AL44" s="28">
        <f>'Project Assumptions'!AQ26</f>
        <v>0</v>
      </c>
      <c r="AM44" s="28">
        <f>'Project Assumptions'!AR26</f>
        <v>0</v>
      </c>
      <c r="AN44" s="28">
        <f>'Project Assumptions'!AS26</f>
        <v>0</v>
      </c>
      <c r="AO44" s="28">
        <f>'Project Assumptions'!AT26</f>
        <v>0</v>
      </c>
      <c r="AP44" s="28">
        <f>'Project Assumptions'!AU26</f>
        <v>0</v>
      </c>
      <c r="AQ44" s="28">
        <f>'Project Assumptions'!AV26</f>
        <v>0</v>
      </c>
    </row>
    <row r="45" spans="1:43">
      <c r="B45" s="25" t="str">
        <f t="shared" si="20"/>
        <v>Capital Expenditure 3</v>
      </c>
      <c r="D45" s="28">
        <f>'Project Assumptions'!I27</f>
        <v>0</v>
      </c>
      <c r="E45" s="28">
        <f>'Project Assumptions'!J27</f>
        <v>0</v>
      </c>
      <c r="F45" s="28">
        <f>'Project Assumptions'!K27</f>
        <v>76704140.577343047</v>
      </c>
      <c r="G45" s="28">
        <f>'Project Assumptions'!L27</f>
        <v>0</v>
      </c>
      <c r="H45" s="28">
        <f>'Project Assumptions'!M27</f>
        <v>0</v>
      </c>
      <c r="I45" s="28">
        <f>'Project Assumptions'!N27</f>
        <v>0</v>
      </c>
      <c r="J45" s="28">
        <f>'Project Assumptions'!O27</f>
        <v>0</v>
      </c>
      <c r="K45" s="28">
        <f>'Project Assumptions'!P27</f>
        <v>0</v>
      </c>
      <c r="L45" s="28">
        <f>'Project Assumptions'!Q27</f>
        <v>0</v>
      </c>
      <c r="M45" s="28">
        <f>'Project Assumptions'!R27</f>
        <v>0</v>
      </c>
      <c r="N45" s="28">
        <f>'Project Assumptions'!S27</f>
        <v>0</v>
      </c>
      <c r="O45" s="28">
        <f>'Project Assumptions'!T27</f>
        <v>0</v>
      </c>
      <c r="P45" s="28">
        <f>'Project Assumptions'!U27</f>
        <v>0</v>
      </c>
      <c r="Q45" s="28">
        <f>'Project Assumptions'!V27</f>
        <v>0</v>
      </c>
      <c r="R45" s="28">
        <f>'Project Assumptions'!W27</f>
        <v>0</v>
      </c>
      <c r="S45" s="28">
        <f>'Project Assumptions'!X27</f>
        <v>0</v>
      </c>
      <c r="T45" s="28">
        <f>'Project Assumptions'!Y27</f>
        <v>0</v>
      </c>
      <c r="U45" s="28">
        <f>'Project Assumptions'!Z27</f>
        <v>0</v>
      </c>
      <c r="V45" s="28">
        <f>'Project Assumptions'!AA27</f>
        <v>0</v>
      </c>
      <c r="W45" s="28">
        <f>'Project Assumptions'!AB27</f>
        <v>0</v>
      </c>
      <c r="X45" s="28">
        <f>'Project Assumptions'!AC27</f>
        <v>0</v>
      </c>
      <c r="Y45" s="28">
        <f>'Project Assumptions'!AD27</f>
        <v>0</v>
      </c>
      <c r="Z45" s="28">
        <f>'Project Assumptions'!AE27</f>
        <v>0</v>
      </c>
      <c r="AA45" s="28">
        <f>'Project Assumptions'!AF27</f>
        <v>0</v>
      </c>
      <c r="AB45" s="28">
        <f>'Project Assumptions'!AG27</f>
        <v>0</v>
      </c>
      <c r="AC45" s="28">
        <f>'Project Assumptions'!AH27</f>
        <v>0</v>
      </c>
      <c r="AD45" s="28">
        <f>'Project Assumptions'!AI27</f>
        <v>0</v>
      </c>
      <c r="AE45" s="28">
        <f>'Project Assumptions'!AJ27</f>
        <v>0</v>
      </c>
      <c r="AF45" s="28">
        <f>'Project Assumptions'!AK27</f>
        <v>0</v>
      </c>
      <c r="AG45" s="28">
        <f>'Project Assumptions'!AL27</f>
        <v>0</v>
      </c>
      <c r="AH45" s="28">
        <f>'Project Assumptions'!AM27</f>
        <v>0</v>
      </c>
      <c r="AI45" s="28">
        <f>'Project Assumptions'!AN27</f>
        <v>0</v>
      </c>
      <c r="AJ45" s="28">
        <f>'Project Assumptions'!AO27</f>
        <v>0</v>
      </c>
      <c r="AK45" s="28">
        <f>'Project Assumptions'!AP27</f>
        <v>0</v>
      </c>
      <c r="AL45" s="28">
        <f>'Project Assumptions'!AQ27</f>
        <v>0</v>
      </c>
      <c r="AM45" s="28">
        <f>'Project Assumptions'!AR27</f>
        <v>0</v>
      </c>
      <c r="AN45" s="28">
        <f>'Project Assumptions'!AS27</f>
        <v>0</v>
      </c>
      <c r="AO45" s="28">
        <f>'Project Assumptions'!AT27</f>
        <v>0</v>
      </c>
      <c r="AP45" s="28">
        <f>'Project Assumptions'!AU27</f>
        <v>0</v>
      </c>
      <c r="AQ45" s="28">
        <f>'Project Assumptions'!AV27</f>
        <v>0</v>
      </c>
    </row>
    <row r="46" spans="1:43">
      <c r="B46" s="25" t="str">
        <f t="shared" si="20"/>
        <v xml:space="preserve">Capital Expenditure 4 </v>
      </c>
      <c r="D46" s="28">
        <f>'Project Assumptions'!I28</f>
        <v>0</v>
      </c>
      <c r="E46" s="28">
        <f>'Project Assumptions'!J28</f>
        <v>0</v>
      </c>
      <c r="F46" s="28">
        <f>'Project Assumptions'!K28</f>
        <v>0</v>
      </c>
      <c r="G46" s="28">
        <f>'Project Assumptions'!L28</f>
        <v>63560675.937072933</v>
      </c>
      <c r="H46" s="28">
        <f>'Project Assumptions'!M28</f>
        <v>0</v>
      </c>
      <c r="I46" s="28">
        <f>'Project Assumptions'!N28</f>
        <v>0</v>
      </c>
      <c r="J46" s="28">
        <f>'Project Assumptions'!O28</f>
        <v>0</v>
      </c>
      <c r="K46" s="28">
        <f>'Project Assumptions'!P28</f>
        <v>0</v>
      </c>
      <c r="L46" s="28">
        <f>'Project Assumptions'!Q28</f>
        <v>0</v>
      </c>
      <c r="M46" s="28">
        <f>'Project Assumptions'!R28</f>
        <v>0</v>
      </c>
      <c r="N46" s="28">
        <f>'Project Assumptions'!S28</f>
        <v>0</v>
      </c>
      <c r="O46" s="28">
        <f>'Project Assumptions'!T28</f>
        <v>0</v>
      </c>
      <c r="P46" s="28">
        <f>'Project Assumptions'!U28</f>
        <v>0</v>
      </c>
      <c r="Q46" s="28">
        <f>'Project Assumptions'!V28</f>
        <v>0</v>
      </c>
      <c r="R46" s="28">
        <f>'Project Assumptions'!W28</f>
        <v>0</v>
      </c>
      <c r="S46" s="28">
        <f>'Project Assumptions'!X28</f>
        <v>0</v>
      </c>
      <c r="T46" s="28">
        <f>'Project Assumptions'!Y28</f>
        <v>0</v>
      </c>
      <c r="U46" s="28">
        <f>'Project Assumptions'!Z28</f>
        <v>0</v>
      </c>
      <c r="V46" s="28">
        <f>'Project Assumptions'!AA28</f>
        <v>0</v>
      </c>
      <c r="W46" s="28">
        <f>'Project Assumptions'!AB28</f>
        <v>0</v>
      </c>
      <c r="X46" s="28">
        <f>'Project Assumptions'!AC28</f>
        <v>0</v>
      </c>
      <c r="Y46" s="28">
        <f>'Project Assumptions'!AD28</f>
        <v>0</v>
      </c>
      <c r="Z46" s="28">
        <f>'Project Assumptions'!AE28</f>
        <v>0</v>
      </c>
      <c r="AA46" s="28">
        <f>'Project Assumptions'!AF28</f>
        <v>0</v>
      </c>
      <c r="AB46" s="28">
        <f>'Project Assumptions'!AG28</f>
        <v>0</v>
      </c>
      <c r="AC46" s="28">
        <f>'Project Assumptions'!AH28</f>
        <v>0</v>
      </c>
      <c r="AD46" s="28">
        <f>'Project Assumptions'!AI28</f>
        <v>0</v>
      </c>
      <c r="AE46" s="28">
        <f>'Project Assumptions'!AJ28</f>
        <v>0</v>
      </c>
      <c r="AF46" s="28">
        <f>'Project Assumptions'!AK28</f>
        <v>0</v>
      </c>
      <c r="AG46" s="28">
        <f>'Project Assumptions'!AL28</f>
        <v>0</v>
      </c>
      <c r="AH46" s="28">
        <f>'Project Assumptions'!AM28</f>
        <v>0</v>
      </c>
      <c r="AI46" s="28">
        <f>'Project Assumptions'!AN28</f>
        <v>0</v>
      </c>
      <c r="AJ46" s="28">
        <f>'Project Assumptions'!AO28</f>
        <v>0</v>
      </c>
      <c r="AK46" s="28">
        <f>'Project Assumptions'!AP28</f>
        <v>0</v>
      </c>
      <c r="AL46" s="28">
        <f>'Project Assumptions'!AQ28</f>
        <v>0</v>
      </c>
      <c r="AM46" s="28">
        <f>'Project Assumptions'!AR28</f>
        <v>0</v>
      </c>
      <c r="AN46" s="28">
        <f>'Project Assumptions'!AS28</f>
        <v>0</v>
      </c>
      <c r="AO46" s="28">
        <f>'Project Assumptions'!AT28</f>
        <v>0</v>
      </c>
      <c r="AP46" s="28">
        <f>'Project Assumptions'!AU28</f>
        <v>0</v>
      </c>
      <c r="AQ46" s="28">
        <f>'Project Assumptions'!AV28</f>
        <v>0</v>
      </c>
    </row>
    <row r="47" spans="1:43">
      <c r="B47" s="25" t="str">
        <f t="shared" si="20"/>
        <v xml:space="preserve">Capital Expenditure 5 </v>
      </c>
      <c r="D47" s="28">
        <f>'Project Assumptions'!I29</f>
        <v>0</v>
      </c>
      <c r="E47" s="28">
        <f>'Project Assumptions'!J29</f>
        <v>0</v>
      </c>
      <c r="F47" s="28">
        <f>'Project Assumptions'!K29</f>
        <v>0</v>
      </c>
      <c r="G47" s="28">
        <f>'Project Assumptions'!L29</f>
        <v>0</v>
      </c>
      <c r="H47" s="28">
        <f>'Project Assumptions'!M29</f>
        <v>65786296.585617647</v>
      </c>
      <c r="I47" s="28">
        <f>'Project Assumptions'!N29</f>
        <v>0</v>
      </c>
      <c r="J47" s="28">
        <f>'Project Assumptions'!O29</f>
        <v>0</v>
      </c>
      <c r="K47" s="28">
        <f>'Project Assumptions'!P29</f>
        <v>0</v>
      </c>
      <c r="L47" s="28">
        <f>'Project Assumptions'!Q29</f>
        <v>0</v>
      </c>
      <c r="M47" s="28">
        <f>'Project Assumptions'!R29</f>
        <v>0</v>
      </c>
      <c r="N47" s="28">
        <f>'Project Assumptions'!S29</f>
        <v>0</v>
      </c>
      <c r="O47" s="28">
        <f>'Project Assumptions'!T29</f>
        <v>0</v>
      </c>
      <c r="P47" s="28">
        <f>'Project Assumptions'!U29</f>
        <v>0</v>
      </c>
      <c r="Q47" s="28">
        <f>'Project Assumptions'!V29</f>
        <v>0</v>
      </c>
      <c r="R47" s="28">
        <f>'Project Assumptions'!W29</f>
        <v>0</v>
      </c>
      <c r="S47" s="28">
        <f>'Project Assumptions'!X29</f>
        <v>0</v>
      </c>
      <c r="T47" s="28">
        <f>'Project Assumptions'!Y29</f>
        <v>0</v>
      </c>
      <c r="U47" s="28">
        <f>'Project Assumptions'!Z29</f>
        <v>0</v>
      </c>
      <c r="V47" s="28">
        <f>'Project Assumptions'!AA29</f>
        <v>0</v>
      </c>
      <c r="W47" s="28">
        <f>'Project Assumptions'!AB29</f>
        <v>0</v>
      </c>
      <c r="X47" s="28">
        <f>'Project Assumptions'!AC29</f>
        <v>0</v>
      </c>
      <c r="Y47" s="28">
        <f>'Project Assumptions'!AD29</f>
        <v>0</v>
      </c>
      <c r="Z47" s="28">
        <f>'Project Assumptions'!AE29</f>
        <v>0</v>
      </c>
      <c r="AA47" s="28">
        <f>'Project Assumptions'!AF29</f>
        <v>0</v>
      </c>
      <c r="AB47" s="28">
        <f>'Project Assumptions'!AG29</f>
        <v>0</v>
      </c>
      <c r="AC47" s="28">
        <f>'Project Assumptions'!AH29</f>
        <v>0</v>
      </c>
      <c r="AD47" s="28">
        <f>'Project Assumptions'!AI29</f>
        <v>0</v>
      </c>
      <c r="AE47" s="28">
        <f>'Project Assumptions'!AJ29</f>
        <v>0</v>
      </c>
      <c r="AF47" s="28">
        <f>'Project Assumptions'!AK29</f>
        <v>0</v>
      </c>
      <c r="AG47" s="28">
        <f>'Project Assumptions'!AL29</f>
        <v>0</v>
      </c>
      <c r="AH47" s="28">
        <f>'Project Assumptions'!AM29</f>
        <v>0</v>
      </c>
      <c r="AI47" s="28">
        <f>'Project Assumptions'!AN29</f>
        <v>0</v>
      </c>
      <c r="AJ47" s="28">
        <f>'Project Assumptions'!AO29</f>
        <v>0</v>
      </c>
      <c r="AK47" s="28">
        <f>'Project Assumptions'!AP29</f>
        <v>0</v>
      </c>
      <c r="AL47" s="28">
        <f>'Project Assumptions'!AQ29</f>
        <v>0</v>
      </c>
      <c r="AM47" s="28">
        <f>'Project Assumptions'!AR29</f>
        <v>0</v>
      </c>
      <c r="AN47" s="28">
        <f>'Project Assumptions'!AS29</f>
        <v>0</v>
      </c>
      <c r="AO47" s="28">
        <f>'Project Assumptions'!AT29</f>
        <v>0</v>
      </c>
      <c r="AP47" s="28">
        <f>'Project Assumptions'!AU29</f>
        <v>0</v>
      </c>
      <c r="AQ47" s="28">
        <f>'Project Assumptions'!AV29</f>
        <v>0</v>
      </c>
    </row>
    <row r="48" spans="1:43">
      <c r="B48" s="25" t="str">
        <f t="shared" si="20"/>
        <v xml:space="preserve">Capital Expenditure 6 </v>
      </c>
      <c r="D48" s="28">
        <f>'Project Assumptions'!I30</f>
        <v>0</v>
      </c>
      <c r="E48" s="28">
        <f>'Project Assumptions'!J30</f>
        <v>0</v>
      </c>
      <c r="F48" s="28">
        <f>'Project Assumptions'!K30</f>
        <v>0</v>
      </c>
      <c r="G48" s="28">
        <f>'Project Assumptions'!L30</f>
        <v>0</v>
      </c>
      <c r="H48" s="28">
        <f>'Project Assumptions'!M30</f>
        <v>0</v>
      </c>
      <c r="I48" s="28">
        <f>'Project Assumptions'!N30</f>
        <v>67759885.48318617</v>
      </c>
      <c r="J48" s="28">
        <f>'Project Assumptions'!O30</f>
        <v>0</v>
      </c>
      <c r="K48" s="28">
        <f>'Project Assumptions'!P30</f>
        <v>0</v>
      </c>
      <c r="L48" s="28">
        <f>'Project Assumptions'!Q30</f>
        <v>0</v>
      </c>
      <c r="M48" s="28">
        <f>'Project Assumptions'!R30</f>
        <v>0</v>
      </c>
      <c r="N48" s="28">
        <f>'Project Assumptions'!S30</f>
        <v>0</v>
      </c>
      <c r="O48" s="28">
        <f>'Project Assumptions'!T30</f>
        <v>0</v>
      </c>
      <c r="P48" s="28">
        <f>'Project Assumptions'!U30</f>
        <v>0</v>
      </c>
      <c r="Q48" s="28">
        <f>'Project Assumptions'!V30</f>
        <v>0</v>
      </c>
      <c r="R48" s="28">
        <f>'Project Assumptions'!W30</f>
        <v>0</v>
      </c>
      <c r="S48" s="28">
        <f>'Project Assumptions'!X30</f>
        <v>0</v>
      </c>
      <c r="T48" s="28">
        <f>'Project Assumptions'!Y30</f>
        <v>0</v>
      </c>
      <c r="U48" s="28">
        <f>'Project Assumptions'!Z30</f>
        <v>0</v>
      </c>
      <c r="V48" s="28">
        <f>'Project Assumptions'!AA30</f>
        <v>0</v>
      </c>
      <c r="W48" s="28">
        <f>'Project Assumptions'!AB30</f>
        <v>0</v>
      </c>
      <c r="X48" s="28">
        <f>'Project Assumptions'!AC30</f>
        <v>0</v>
      </c>
      <c r="Y48" s="28">
        <f>'Project Assumptions'!AD30</f>
        <v>0</v>
      </c>
      <c r="Z48" s="28">
        <f>'Project Assumptions'!AE30</f>
        <v>0</v>
      </c>
      <c r="AA48" s="28">
        <f>'Project Assumptions'!AF30</f>
        <v>0</v>
      </c>
      <c r="AB48" s="28">
        <f>'Project Assumptions'!AG30</f>
        <v>0</v>
      </c>
      <c r="AC48" s="28">
        <f>'Project Assumptions'!AH30</f>
        <v>0</v>
      </c>
      <c r="AD48" s="28">
        <f>'Project Assumptions'!AI30</f>
        <v>0</v>
      </c>
      <c r="AE48" s="28">
        <f>'Project Assumptions'!AJ30</f>
        <v>0</v>
      </c>
      <c r="AF48" s="28">
        <f>'Project Assumptions'!AK30</f>
        <v>0</v>
      </c>
      <c r="AG48" s="28">
        <f>'Project Assumptions'!AL30</f>
        <v>0</v>
      </c>
      <c r="AH48" s="28">
        <f>'Project Assumptions'!AM30</f>
        <v>0</v>
      </c>
      <c r="AI48" s="28">
        <f>'Project Assumptions'!AN30</f>
        <v>0</v>
      </c>
      <c r="AJ48" s="28">
        <f>'Project Assumptions'!AO30</f>
        <v>0</v>
      </c>
      <c r="AK48" s="28">
        <f>'Project Assumptions'!AP30</f>
        <v>0</v>
      </c>
      <c r="AL48" s="28">
        <f>'Project Assumptions'!AQ30</f>
        <v>0</v>
      </c>
      <c r="AM48" s="28">
        <f>'Project Assumptions'!AR30</f>
        <v>0</v>
      </c>
      <c r="AN48" s="28">
        <f>'Project Assumptions'!AS30</f>
        <v>0</v>
      </c>
      <c r="AO48" s="28">
        <f>'Project Assumptions'!AT30</f>
        <v>0</v>
      </c>
      <c r="AP48" s="28">
        <f>'Project Assumptions'!AU30</f>
        <v>0</v>
      </c>
      <c r="AQ48" s="28">
        <f>'Project Assumptions'!AV30</f>
        <v>0</v>
      </c>
    </row>
    <row r="49" spans="1:43">
      <c r="B49" s="25" t="str">
        <f t="shared" si="20"/>
        <v>Capital Expenditure 7</v>
      </c>
      <c r="D49" s="28">
        <f>'Project Assumptions'!I31</f>
        <v>0</v>
      </c>
      <c r="E49" s="28">
        <f>'Project Assumptions'!J31</f>
        <v>0</v>
      </c>
      <c r="F49" s="28">
        <f>'Project Assumptions'!K31</f>
        <v>0</v>
      </c>
      <c r="G49" s="28">
        <f>'Project Assumptions'!L31</f>
        <v>0</v>
      </c>
      <c r="H49" s="28">
        <f>'Project Assumptions'!M31</f>
        <v>0</v>
      </c>
      <c r="I49" s="28">
        <f>'Project Assumptions'!N31</f>
        <v>0</v>
      </c>
      <c r="J49" s="28">
        <f>'Project Assumptions'!O31</f>
        <v>69792682.047681749</v>
      </c>
      <c r="K49" s="28">
        <f>'Project Assumptions'!P31</f>
        <v>0</v>
      </c>
      <c r="L49" s="28">
        <f>'Project Assumptions'!Q31</f>
        <v>0</v>
      </c>
      <c r="M49" s="28">
        <f>'Project Assumptions'!R31</f>
        <v>0</v>
      </c>
      <c r="N49" s="28">
        <f>'Project Assumptions'!S31</f>
        <v>0</v>
      </c>
      <c r="O49" s="28">
        <f>'Project Assumptions'!T31</f>
        <v>0</v>
      </c>
      <c r="P49" s="28">
        <f>'Project Assumptions'!U31</f>
        <v>0</v>
      </c>
      <c r="Q49" s="28">
        <f>'Project Assumptions'!V31</f>
        <v>0</v>
      </c>
      <c r="R49" s="28">
        <f>'Project Assumptions'!W31</f>
        <v>0</v>
      </c>
      <c r="S49" s="28">
        <f>'Project Assumptions'!X31</f>
        <v>0</v>
      </c>
      <c r="T49" s="28">
        <f>'Project Assumptions'!Y31</f>
        <v>0</v>
      </c>
      <c r="U49" s="28">
        <f>'Project Assumptions'!Z31</f>
        <v>0</v>
      </c>
      <c r="V49" s="28">
        <f>'Project Assumptions'!AA31</f>
        <v>0</v>
      </c>
      <c r="W49" s="28">
        <f>'Project Assumptions'!AB31</f>
        <v>0</v>
      </c>
      <c r="X49" s="28">
        <f>'Project Assumptions'!AC31</f>
        <v>0</v>
      </c>
      <c r="Y49" s="28">
        <f>'Project Assumptions'!AD31</f>
        <v>0</v>
      </c>
      <c r="Z49" s="28">
        <f>'Project Assumptions'!AE31</f>
        <v>0</v>
      </c>
      <c r="AA49" s="28">
        <f>'Project Assumptions'!AF31</f>
        <v>0</v>
      </c>
      <c r="AB49" s="28">
        <f>'Project Assumptions'!AG31</f>
        <v>0</v>
      </c>
      <c r="AC49" s="28">
        <f>'Project Assumptions'!AH31</f>
        <v>0</v>
      </c>
      <c r="AD49" s="28">
        <f>'Project Assumptions'!AI31</f>
        <v>0</v>
      </c>
      <c r="AE49" s="28">
        <f>'Project Assumptions'!AJ31</f>
        <v>0</v>
      </c>
      <c r="AF49" s="28">
        <f>'Project Assumptions'!AK31</f>
        <v>0</v>
      </c>
      <c r="AG49" s="28">
        <f>'Project Assumptions'!AL31</f>
        <v>0</v>
      </c>
      <c r="AH49" s="28">
        <f>'Project Assumptions'!AM31</f>
        <v>0</v>
      </c>
      <c r="AI49" s="28">
        <f>'Project Assumptions'!AN31</f>
        <v>0</v>
      </c>
      <c r="AJ49" s="28">
        <f>'Project Assumptions'!AO31</f>
        <v>0</v>
      </c>
      <c r="AK49" s="28">
        <f>'Project Assumptions'!AP31</f>
        <v>0</v>
      </c>
      <c r="AL49" s="28">
        <f>'Project Assumptions'!AQ31</f>
        <v>0</v>
      </c>
      <c r="AM49" s="28">
        <f>'Project Assumptions'!AR31</f>
        <v>0</v>
      </c>
      <c r="AN49" s="28">
        <f>'Project Assumptions'!AS31</f>
        <v>0</v>
      </c>
      <c r="AO49" s="28">
        <f>'Project Assumptions'!AT31</f>
        <v>0</v>
      </c>
      <c r="AP49" s="28">
        <f>'Project Assumptions'!AU31</f>
        <v>0</v>
      </c>
      <c r="AQ49" s="28">
        <f>'Project Assumptions'!AV31</f>
        <v>0</v>
      </c>
    </row>
    <row r="50" spans="1:43">
      <c r="B50" s="25" t="str">
        <f t="shared" si="20"/>
        <v>Capital Expenditure 8</v>
      </c>
      <c r="D50" s="28">
        <f>'Project Assumptions'!I32</f>
        <v>0</v>
      </c>
      <c r="E50" s="28">
        <f>'Project Assumptions'!J32</f>
        <v>0</v>
      </c>
      <c r="F50" s="28">
        <f>'Project Assumptions'!K32</f>
        <v>0</v>
      </c>
      <c r="G50" s="28">
        <f>'Project Assumptions'!L32</f>
        <v>0</v>
      </c>
      <c r="H50" s="28">
        <f>'Project Assumptions'!M32</f>
        <v>0</v>
      </c>
      <c r="I50" s="28">
        <f>'Project Assumptions'!N32</f>
        <v>0</v>
      </c>
      <c r="J50" s="28">
        <f>'Project Assumptions'!O32</f>
        <v>0</v>
      </c>
      <c r="K50" s="28">
        <f>'Project Assumptions'!P32</f>
        <v>60300501.335585594</v>
      </c>
      <c r="L50" s="28">
        <f>'Project Assumptions'!Q32</f>
        <v>0</v>
      </c>
      <c r="M50" s="28">
        <f>'Project Assumptions'!R32</f>
        <v>0</v>
      </c>
      <c r="N50" s="28">
        <f>'Project Assumptions'!S32</f>
        <v>0</v>
      </c>
      <c r="O50" s="28">
        <f>'Project Assumptions'!T32</f>
        <v>0</v>
      </c>
      <c r="P50" s="28">
        <f>'Project Assumptions'!U32</f>
        <v>0</v>
      </c>
      <c r="Q50" s="28">
        <f>'Project Assumptions'!V32</f>
        <v>0</v>
      </c>
      <c r="R50" s="28">
        <f>'Project Assumptions'!W32</f>
        <v>0</v>
      </c>
      <c r="S50" s="28">
        <f>'Project Assumptions'!X32</f>
        <v>0</v>
      </c>
      <c r="T50" s="28">
        <f>'Project Assumptions'!Y32</f>
        <v>0</v>
      </c>
      <c r="U50" s="28">
        <f>'Project Assumptions'!Z32</f>
        <v>0</v>
      </c>
      <c r="V50" s="28">
        <f>'Project Assumptions'!AA32</f>
        <v>0</v>
      </c>
      <c r="W50" s="28">
        <f>'Project Assumptions'!AB32</f>
        <v>0</v>
      </c>
      <c r="X50" s="28">
        <f>'Project Assumptions'!AC32</f>
        <v>0</v>
      </c>
      <c r="Y50" s="28">
        <f>'Project Assumptions'!AD32</f>
        <v>0</v>
      </c>
      <c r="Z50" s="28">
        <f>'Project Assumptions'!AE32</f>
        <v>0</v>
      </c>
      <c r="AA50" s="28">
        <f>'Project Assumptions'!AF32</f>
        <v>0</v>
      </c>
      <c r="AB50" s="28">
        <f>'Project Assumptions'!AG32</f>
        <v>0</v>
      </c>
      <c r="AC50" s="28">
        <f>'Project Assumptions'!AH32</f>
        <v>0</v>
      </c>
      <c r="AD50" s="28">
        <f>'Project Assumptions'!AI32</f>
        <v>0</v>
      </c>
      <c r="AE50" s="28">
        <f>'Project Assumptions'!AJ32</f>
        <v>0</v>
      </c>
      <c r="AF50" s="28">
        <f>'Project Assumptions'!AK32</f>
        <v>0</v>
      </c>
      <c r="AG50" s="28">
        <f>'Project Assumptions'!AL32</f>
        <v>0</v>
      </c>
      <c r="AH50" s="28">
        <f>'Project Assumptions'!AM32</f>
        <v>0</v>
      </c>
      <c r="AI50" s="28">
        <f>'Project Assumptions'!AN32</f>
        <v>0</v>
      </c>
      <c r="AJ50" s="28">
        <f>'Project Assumptions'!AO32</f>
        <v>0</v>
      </c>
      <c r="AK50" s="28">
        <f>'Project Assumptions'!AP32</f>
        <v>0</v>
      </c>
      <c r="AL50" s="28">
        <f>'Project Assumptions'!AQ32</f>
        <v>0</v>
      </c>
      <c r="AM50" s="28">
        <f>'Project Assumptions'!AR32</f>
        <v>0</v>
      </c>
      <c r="AN50" s="28">
        <f>'Project Assumptions'!AS32</f>
        <v>0</v>
      </c>
      <c r="AO50" s="28">
        <f>'Project Assumptions'!AT32</f>
        <v>0</v>
      </c>
      <c r="AP50" s="28">
        <f>'Project Assumptions'!AU32</f>
        <v>0</v>
      </c>
      <c r="AQ50" s="28">
        <f>'Project Assumptions'!AV32</f>
        <v>0</v>
      </c>
    </row>
    <row r="51" spans="1:43">
      <c r="B51" s="25" t="str">
        <f t="shared" si="20"/>
        <v>Capital Expenditure 9</v>
      </c>
      <c r="D51" s="28">
        <f>'Project Assumptions'!I33</f>
        <v>0</v>
      </c>
      <c r="E51" s="28">
        <f>'Project Assumptions'!J33</f>
        <v>0</v>
      </c>
      <c r="F51" s="28">
        <f>'Project Assumptions'!K33</f>
        <v>0</v>
      </c>
      <c r="G51" s="28">
        <f>'Project Assumptions'!L33</f>
        <v>0</v>
      </c>
      <c r="H51" s="28">
        <f>'Project Assumptions'!M33</f>
        <v>0</v>
      </c>
      <c r="I51" s="28">
        <f>'Project Assumptions'!N33</f>
        <v>0</v>
      </c>
      <c r="J51" s="28">
        <f>'Project Assumptions'!O33</f>
        <v>0</v>
      </c>
      <c r="K51" s="28">
        <f>'Project Assumptions'!P33</f>
        <v>0</v>
      </c>
      <c r="L51" s="28">
        <f>'Project Assumptions'!Q33</f>
        <v>588642.75358512939</v>
      </c>
      <c r="M51" s="28">
        <f>'Project Assumptions'!R33</f>
        <v>0</v>
      </c>
      <c r="N51" s="28">
        <f>'Project Assumptions'!S33</f>
        <v>0</v>
      </c>
      <c r="O51" s="28">
        <f>'Project Assumptions'!T33</f>
        <v>0</v>
      </c>
      <c r="P51" s="28">
        <f>'Project Assumptions'!U33</f>
        <v>0</v>
      </c>
      <c r="Q51" s="28">
        <f>'Project Assumptions'!V33</f>
        <v>0</v>
      </c>
      <c r="R51" s="28">
        <f>'Project Assumptions'!W33</f>
        <v>0</v>
      </c>
      <c r="S51" s="28">
        <f>'Project Assumptions'!X33</f>
        <v>0</v>
      </c>
      <c r="T51" s="28">
        <f>'Project Assumptions'!Y33</f>
        <v>0</v>
      </c>
      <c r="U51" s="28">
        <f>'Project Assumptions'!Z33</f>
        <v>0</v>
      </c>
      <c r="V51" s="28">
        <f>'Project Assumptions'!AA33</f>
        <v>0</v>
      </c>
      <c r="W51" s="28">
        <f>'Project Assumptions'!AB33</f>
        <v>0</v>
      </c>
      <c r="X51" s="28">
        <f>'Project Assumptions'!AC33</f>
        <v>0</v>
      </c>
      <c r="Y51" s="28">
        <f>'Project Assumptions'!AD33</f>
        <v>0</v>
      </c>
      <c r="Z51" s="28">
        <f>'Project Assumptions'!AE33</f>
        <v>0</v>
      </c>
      <c r="AA51" s="28">
        <f>'Project Assumptions'!AF33</f>
        <v>0</v>
      </c>
      <c r="AB51" s="28">
        <f>'Project Assumptions'!AG33</f>
        <v>0</v>
      </c>
      <c r="AC51" s="28">
        <f>'Project Assumptions'!AH33</f>
        <v>0</v>
      </c>
      <c r="AD51" s="28">
        <f>'Project Assumptions'!AI33</f>
        <v>0</v>
      </c>
      <c r="AE51" s="28">
        <f>'Project Assumptions'!AJ33</f>
        <v>0</v>
      </c>
      <c r="AF51" s="28">
        <f>'Project Assumptions'!AK33</f>
        <v>0</v>
      </c>
      <c r="AG51" s="28">
        <f>'Project Assumptions'!AL33</f>
        <v>0</v>
      </c>
      <c r="AH51" s="28">
        <f>'Project Assumptions'!AM33</f>
        <v>0</v>
      </c>
      <c r="AI51" s="28">
        <f>'Project Assumptions'!AN33</f>
        <v>0</v>
      </c>
      <c r="AJ51" s="28">
        <f>'Project Assumptions'!AO33</f>
        <v>0</v>
      </c>
      <c r="AK51" s="28">
        <f>'Project Assumptions'!AP33</f>
        <v>0</v>
      </c>
      <c r="AL51" s="28">
        <f>'Project Assumptions'!AQ33</f>
        <v>0</v>
      </c>
      <c r="AM51" s="28">
        <f>'Project Assumptions'!AR33</f>
        <v>0</v>
      </c>
      <c r="AN51" s="28">
        <f>'Project Assumptions'!AS33</f>
        <v>0</v>
      </c>
      <c r="AO51" s="28">
        <f>'Project Assumptions'!AT33</f>
        <v>0</v>
      </c>
      <c r="AP51" s="28">
        <f>'Project Assumptions'!AU33</f>
        <v>0</v>
      </c>
      <c r="AQ51" s="28">
        <f>'Project Assumptions'!AV33</f>
        <v>0</v>
      </c>
    </row>
    <row r="52" spans="1:43">
      <c r="B52" s="25" t="str">
        <f t="shared" ref="B52:B55" si="21">B35</f>
        <v>Capital Expenditure 10</v>
      </c>
      <c r="D52" s="28">
        <f>'Project Assumptions'!I34</f>
        <v>0</v>
      </c>
      <c r="E52" s="28">
        <f>'Project Assumptions'!J34</f>
        <v>0</v>
      </c>
      <c r="F52" s="28">
        <f>'Project Assumptions'!K34</f>
        <v>0</v>
      </c>
      <c r="G52" s="28">
        <f>'Project Assumptions'!L34</f>
        <v>0</v>
      </c>
      <c r="H52" s="28">
        <f>'Project Assumptions'!M34</f>
        <v>0</v>
      </c>
      <c r="I52" s="28">
        <f>'Project Assumptions'!N34</f>
        <v>0</v>
      </c>
      <c r="J52" s="28">
        <f>'Project Assumptions'!O34</f>
        <v>0</v>
      </c>
      <c r="K52" s="28">
        <f>'Project Assumptions'!P34</f>
        <v>0</v>
      </c>
      <c r="L52" s="28">
        <f>'Project Assumptions'!Q34</f>
        <v>0</v>
      </c>
      <c r="M52" s="28">
        <f>'Project Assumptions'!R34</f>
        <v>502476.37930266297</v>
      </c>
      <c r="N52" s="28">
        <f>'Project Assumptions'!S34</f>
        <v>0</v>
      </c>
      <c r="O52" s="28">
        <f>'Project Assumptions'!T34</f>
        <v>0</v>
      </c>
      <c r="P52" s="28">
        <f>'Project Assumptions'!U34</f>
        <v>0</v>
      </c>
      <c r="Q52" s="28">
        <f>'Project Assumptions'!V34</f>
        <v>0</v>
      </c>
      <c r="R52" s="28">
        <f>'Project Assumptions'!W34</f>
        <v>0</v>
      </c>
      <c r="S52" s="28">
        <f>'Project Assumptions'!X34</f>
        <v>0</v>
      </c>
      <c r="T52" s="28">
        <f>'Project Assumptions'!Y34</f>
        <v>0</v>
      </c>
      <c r="U52" s="28">
        <f>'Project Assumptions'!Z34</f>
        <v>0</v>
      </c>
      <c r="V52" s="28">
        <f>'Project Assumptions'!AA34</f>
        <v>0</v>
      </c>
      <c r="W52" s="28">
        <f>'Project Assumptions'!AB34</f>
        <v>0</v>
      </c>
      <c r="X52" s="28">
        <f>'Project Assumptions'!AC34</f>
        <v>0</v>
      </c>
      <c r="Y52" s="28">
        <f>'Project Assumptions'!AD34</f>
        <v>0</v>
      </c>
      <c r="Z52" s="28">
        <f>'Project Assumptions'!AE34</f>
        <v>0</v>
      </c>
      <c r="AA52" s="28">
        <f>'Project Assumptions'!AF34</f>
        <v>0</v>
      </c>
      <c r="AB52" s="28">
        <f>'Project Assumptions'!AG34</f>
        <v>0</v>
      </c>
      <c r="AC52" s="28">
        <f>'Project Assumptions'!AH34</f>
        <v>0</v>
      </c>
      <c r="AD52" s="28">
        <f>'Project Assumptions'!AI34</f>
        <v>0</v>
      </c>
      <c r="AE52" s="28">
        <f>'Project Assumptions'!AJ34</f>
        <v>0</v>
      </c>
      <c r="AF52" s="28">
        <f>'Project Assumptions'!AK34</f>
        <v>0</v>
      </c>
      <c r="AG52" s="28">
        <f>'Project Assumptions'!AL34</f>
        <v>0</v>
      </c>
      <c r="AH52" s="28">
        <f>'Project Assumptions'!AM34</f>
        <v>0</v>
      </c>
      <c r="AI52" s="28">
        <f>'Project Assumptions'!AN34</f>
        <v>0</v>
      </c>
      <c r="AJ52" s="28">
        <f>'Project Assumptions'!AO34</f>
        <v>0</v>
      </c>
      <c r="AK52" s="28">
        <f>'Project Assumptions'!AP34</f>
        <v>0</v>
      </c>
      <c r="AL52" s="28">
        <f>'Project Assumptions'!AQ34</f>
        <v>0</v>
      </c>
      <c r="AM52" s="28">
        <f>'Project Assumptions'!AR34</f>
        <v>0</v>
      </c>
      <c r="AN52" s="28">
        <f>'Project Assumptions'!AS34</f>
        <v>0</v>
      </c>
      <c r="AO52" s="28">
        <f>'Project Assumptions'!AT34</f>
        <v>0</v>
      </c>
      <c r="AP52" s="28">
        <f>'Project Assumptions'!AU34</f>
        <v>0</v>
      </c>
      <c r="AQ52" s="28">
        <f>'Project Assumptions'!AV34</f>
        <v>0</v>
      </c>
    </row>
    <row r="53" spans="1:43">
      <c r="B53" s="25" t="str">
        <f t="shared" si="21"/>
        <v>Capital Expenditure 11</v>
      </c>
      <c r="D53" s="28">
        <f>'Project Assumptions'!I35</f>
        <v>0</v>
      </c>
      <c r="E53" s="28">
        <f>'Project Assumptions'!J35</f>
        <v>0</v>
      </c>
      <c r="F53" s="28">
        <f>'Project Assumptions'!K35</f>
        <v>0</v>
      </c>
      <c r="G53" s="28">
        <f>'Project Assumptions'!L35</f>
        <v>0</v>
      </c>
      <c r="H53" s="28">
        <f>'Project Assumptions'!M35</f>
        <v>0</v>
      </c>
      <c r="I53" s="28">
        <f>'Project Assumptions'!N35</f>
        <v>0</v>
      </c>
      <c r="J53" s="28">
        <f>'Project Assumptions'!O35</f>
        <v>0</v>
      </c>
      <c r="K53" s="28">
        <f>'Project Assumptions'!P35</f>
        <v>0</v>
      </c>
      <c r="L53" s="28">
        <f>'Project Assumptions'!Q35</f>
        <v>0</v>
      </c>
      <c r="M53" s="28">
        <f>'Project Assumptions'!R35</f>
        <v>0</v>
      </c>
      <c r="N53" s="28">
        <f>'Project Assumptions'!S35</f>
        <v>507828.81371840462</v>
      </c>
      <c r="O53" s="28">
        <f>'Project Assumptions'!T35</f>
        <v>0</v>
      </c>
      <c r="P53" s="28">
        <f>'Project Assumptions'!U35</f>
        <v>0</v>
      </c>
      <c r="Q53" s="28">
        <f>'Project Assumptions'!V35</f>
        <v>0</v>
      </c>
      <c r="R53" s="28">
        <f>'Project Assumptions'!W35</f>
        <v>0</v>
      </c>
      <c r="S53" s="28">
        <f>'Project Assumptions'!X35</f>
        <v>0</v>
      </c>
      <c r="T53" s="28">
        <f>'Project Assumptions'!Y35</f>
        <v>0</v>
      </c>
      <c r="U53" s="28">
        <f>'Project Assumptions'!Z35</f>
        <v>0</v>
      </c>
      <c r="V53" s="28">
        <f>'Project Assumptions'!AA35</f>
        <v>0</v>
      </c>
      <c r="W53" s="28">
        <f>'Project Assumptions'!AB35</f>
        <v>0</v>
      </c>
      <c r="X53" s="28">
        <f>'Project Assumptions'!AC35</f>
        <v>0</v>
      </c>
      <c r="Y53" s="28">
        <f>'Project Assumptions'!AD35</f>
        <v>0</v>
      </c>
      <c r="Z53" s="28">
        <f>'Project Assumptions'!AE35</f>
        <v>0</v>
      </c>
      <c r="AA53" s="28">
        <f>'Project Assumptions'!AF35</f>
        <v>0</v>
      </c>
      <c r="AB53" s="28">
        <f>'Project Assumptions'!AG35</f>
        <v>0</v>
      </c>
      <c r="AC53" s="28">
        <f>'Project Assumptions'!AH35</f>
        <v>0</v>
      </c>
      <c r="AD53" s="28">
        <f>'Project Assumptions'!AI35</f>
        <v>0</v>
      </c>
      <c r="AE53" s="28">
        <f>'Project Assumptions'!AJ35</f>
        <v>0</v>
      </c>
      <c r="AF53" s="28">
        <f>'Project Assumptions'!AK35</f>
        <v>0</v>
      </c>
      <c r="AG53" s="28">
        <f>'Project Assumptions'!AL35</f>
        <v>0</v>
      </c>
      <c r="AH53" s="28">
        <f>'Project Assumptions'!AM35</f>
        <v>0</v>
      </c>
      <c r="AI53" s="28">
        <f>'Project Assumptions'!AN35</f>
        <v>0</v>
      </c>
      <c r="AJ53" s="28">
        <f>'Project Assumptions'!AO35</f>
        <v>0</v>
      </c>
      <c r="AK53" s="28">
        <f>'Project Assumptions'!AP35</f>
        <v>0</v>
      </c>
      <c r="AL53" s="28">
        <f>'Project Assumptions'!AQ35</f>
        <v>0</v>
      </c>
      <c r="AM53" s="28">
        <f>'Project Assumptions'!AR35</f>
        <v>0</v>
      </c>
      <c r="AN53" s="28">
        <f>'Project Assumptions'!AS35</f>
        <v>0</v>
      </c>
      <c r="AO53" s="28">
        <f>'Project Assumptions'!AT35</f>
        <v>0</v>
      </c>
      <c r="AP53" s="28">
        <f>'Project Assumptions'!AU35</f>
        <v>0</v>
      </c>
      <c r="AQ53" s="28">
        <f>'Project Assumptions'!AV35</f>
        <v>0</v>
      </c>
    </row>
    <row r="54" spans="1:43">
      <c r="B54" s="25" t="str">
        <f t="shared" si="21"/>
        <v>Capital Expenditure 12</v>
      </c>
      <c r="D54" s="28">
        <f>'Project Assumptions'!I36</f>
        <v>0</v>
      </c>
      <c r="E54" s="28">
        <f>'Project Assumptions'!J36</f>
        <v>0</v>
      </c>
      <c r="F54" s="28">
        <f>'Project Assumptions'!K36</f>
        <v>0</v>
      </c>
      <c r="G54" s="28">
        <f>'Project Assumptions'!L36</f>
        <v>0</v>
      </c>
      <c r="H54" s="28">
        <f>'Project Assumptions'!M36</f>
        <v>0</v>
      </c>
      <c r="I54" s="28">
        <f>'Project Assumptions'!N36</f>
        <v>0</v>
      </c>
      <c r="J54" s="28">
        <f>'Project Assumptions'!O36</f>
        <v>0</v>
      </c>
      <c r="K54" s="28">
        <f>'Project Assumptions'!P36</f>
        <v>0</v>
      </c>
      <c r="L54" s="28">
        <f>'Project Assumptions'!Q36</f>
        <v>0</v>
      </c>
      <c r="M54" s="28">
        <f>'Project Assumptions'!R36</f>
        <v>0</v>
      </c>
      <c r="N54" s="28"/>
      <c r="O54" s="28">
        <f>'Project Assumptions'!T36</f>
        <v>523063.67812995671</v>
      </c>
      <c r="P54" s="28">
        <f>'Project Assumptions'!U36</f>
        <v>0</v>
      </c>
      <c r="Q54" s="28">
        <f>'Project Assumptions'!V36</f>
        <v>0</v>
      </c>
      <c r="R54" s="28">
        <f>'Project Assumptions'!W36</f>
        <v>0</v>
      </c>
      <c r="S54" s="28">
        <f>'Project Assumptions'!X36</f>
        <v>0</v>
      </c>
      <c r="T54" s="28">
        <f>'Project Assumptions'!Y36</f>
        <v>0</v>
      </c>
      <c r="U54" s="28">
        <f>'Project Assumptions'!Z36</f>
        <v>0</v>
      </c>
      <c r="V54" s="28">
        <f>'Project Assumptions'!AA36</f>
        <v>0</v>
      </c>
      <c r="W54" s="28">
        <f>'Project Assumptions'!AB36</f>
        <v>0</v>
      </c>
      <c r="X54" s="28">
        <f>'Project Assumptions'!AC36</f>
        <v>0</v>
      </c>
      <c r="Y54" s="28">
        <f>'Project Assumptions'!AD36</f>
        <v>0</v>
      </c>
      <c r="Z54" s="28">
        <f>'Project Assumptions'!AE36</f>
        <v>0</v>
      </c>
      <c r="AA54" s="28">
        <f>'Project Assumptions'!AF36</f>
        <v>0</v>
      </c>
      <c r="AB54" s="28">
        <f>'Project Assumptions'!AG36</f>
        <v>0</v>
      </c>
      <c r="AC54" s="28">
        <f>'Project Assumptions'!AH36</f>
        <v>0</v>
      </c>
      <c r="AD54" s="28">
        <f>'Project Assumptions'!AI36</f>
        <v>0</v>
      </c>
      <c r="AE54" s="28">
        <f>'Project Assumptions'!AJ36</f>
        <v>0</v>
      </c>
      <c r="AF54" s="28">
        <f>'Project Assumptions'!AK36</f>
        <v>0</v>
      </c>
      <c r="AG54" s="28">
        <f>'Project Assumptions'!AL36</f>
        <v>0</v>
      </c>
      <c r="AH54" s="28">
        <f>'Project Assumptions'!AM36</f>
        <v>0</v>
      </c>
      <c r="AI54" s="28">
        <f>'Project Assumptions'!AN36</f>
        <v>0</v>
      </c>
      <c r="AJ54" s="28">
        <f>'Project Assumptions'!AO36</f>
        <v>0</v>
      </c>
      <c r="AK54" s="28">
        <f>'Project Assumptions'!AP36</f>
        <v>0</v>
      </c>
      <c r="AL54" s="28">
        <f>'Project Assumptions'!AQ36</f>
        <v>0</v>
      </c>
      <c r="AM54" s="28">
        <f>'Project Assumptions'!AR36</f>
        <v>0</v>
      </c>
      <c r="AN54" s="28">
        <f>'Project Assumptions'!AS36</f>
        <v>0</v>
      </c>
      <c r="AO54" s="28">
        <f>'Project Assumptions'!AT36</f>
        <v>0</v>
      </c>
      <c r="AP54" s="28">
        <f>'Project Assumptions'!AU36</f>
        <v>0</v>
      </c>
      <c r="AQ54" s="28">
        <f>'Project Assumptions'!AV36</f>
        <v>0</v>
      </c>
    </row>
    <row r="55" spans="1:43">
      <c r="B55" s="25" t="str">
        <f t="shared" si="21"/>
        <v>Total Capital</v>
      </c>
      <c r="C55" s="329"/>
      <c r="D55" s="29">
        <f t="shared" ref="D55:AQ55" si="22">SUM(D43:D54)</f>
        <v>19793828.009456668</v>
      </c>
      <c r="E55" s="29">
        <f t="shared" si="22"/>
        <v>32342118.307692379</v>
      </c>
      <c r="F55" s="29">
        <f t="shared" si="22"/>
        <v>76704140.577343047</v>
      </c>
      <c r="G55" s="29">
        <f t="shared" si="22"/>
        <v>63560675.937072933</v>
      </c>
      <c r="H55" s="29">
        <f t="shared" si="22"/>
        <v>65786296.585617647</v>
      </c>
      <c r="I55" s="29">
        <f t="shared" si="22"/>
        <v>67759885.48318617</v>
      </c>
      <c r="J55" s="29">
        <f t="shared" si="22"/>
        <v>69792682.047681749</v>
      </c>
      <c r="K55" s="29">
        <f t="shared" si="22"/>
        <v>60300501.335585594</v>
      </c>
      <c r="L55" s="29">
        <f t="shared" si="22"/>
        <v>588642.75358512939</v>
      </c>
      <c r="M55" s="29">
        <f t="shared" si="22"/>
        <v>502476.37930266297</v>
      </c>
      <c r="N55" s="29">
        <f t="shared" si="22"/>
        <v>507828.81371840462</v>
      </c>
      <c r="O55" s="29">
        <f t="shared" si="22"/>
        <v>523063.67812995671</v>
      </c>
      <c r="P55" s="29">
        <f t="shared" si="22"/>
        <v>0</v>
      </c>
      <c r="Q55" s="29">
        <f t="shared" si="22"/>
        <v>0</v>
      </c>
      <c r="R55" s="29">
        <f t="shared" si="22"/>
        <v>0</v>
      </c>
      <c r="S55" s="29">
        <f t="shared" si="22"/>
        <v>0</v>
      </c>
      <c r="T55" s="29">
        <f t="shared" si="22"/>
        <v>0</v>
      </c>
      <c r="U55" s="29">
        <f t="shared" si="22"/>
        <v>0</v>
      </c>
      <c r="V55" s="29">
        <f t="shared" si="22"/>
        <v>0</v>
      </c>
      <c r="W55" s="29">
        <f t="shared" si="22"/>
        <v>0</v>
      </c>
      <c r="X55" s="29">
        <f t="shared" si="22"/>
        <v>0</v>
      </c>
      <c r="Y55" s="29">
        <f t="shared" si="22"/>
        <v>0</v>
      </c>
      <c r="Z55" s="29">
        <f t="shared" si="22"/>
        <v>0</v>
      </c>
      <c r="AA55" s="29">
        <f t="shared" si="22"/>
        <v>0</v>
      </c>
      <c r="AB55" s="29">
        <f t="shared" si="22"/>
        <v>0</v>
      </c>
      <c r="AC55" s="29">
        <f t="shared" si="22"/>
        <v>0</v>
      </c>
      <c r="AD55" s="29">
        <f t="shared" si="22"/>
        <v>0</v>
      </c>
      <c r="AE55" s="29">
        <f t="shared" si="22"/>
        <v>0</v>
      </c>
      <c r="AF55" s="29">
        <f t="shared" si="22"/>
        <v>0</v>
      </c>
      <c r="AG55" s="29">
        <f t="shared" si="22"/>
        <v>0</v>
      </c>
      <c r="AH55" s="29">
        <f t="shared" si="22"/>
        <v>0</v>
      </c>
      <c r="AI55" s="29">
        <f t="shared" si="22"/>
        <v>0</v>
      </c>
      <c r="AJ55" s="29">
        <f t="shared" si="22"/>
        <v>0</v>
      </c>
      <c r="AK55" s="29">
        <f t="shared" si="22"/>
        <v>0</v>
      </c>
      <c r="AL55" s="29">
        <f t="shared" si="22"/>
        <v>0</v>
      </c>
      <c r="AM55" s="29">
        <f t="shared" si="22"/>
        <v>0</v>
      </c>
      <c r="AN55" s="29">
        <f t="shared" si="22"/>
        <v>0</v>
      </c>
      <c r="AO55" s="29">
        <f t="shared" si="22"/>
        <v>0</v>
      </c>
      <c r="AP55" s="29">
        <f t="shared" si="22"/>
        <v>0</v>
      </c>
      <c r="AQ55" s="29">
        <f t="shared" si="22"/>
        <v>0</v>
      </c>
    </row>
    <row r="56" spans="1:43">
      <c r="B56" s="25"/>
      <c r="C56" s="329"/>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row>
    <row r="58" spans="1:43">
      <c r="B58" s="27" t="s">
        <v>217</v>
      </c>
      <c r="C58" s="80" t="s">
        <v>35</v>
      </c>
      <c r="M58" s="31"/>
    </row>
    <row r="59" spans="1:43">
      <c r="B59" s="25" t="str">
        <f t="shared" ref="B59:B68" si="23">B43</f>
        <v>Capital Expenditure 1</v>
      </c>
      <c r="C59" s="329" t="str">
        <f>'Project Assumptions'!H25</f>
        <v>Yes</v>
      </c>
      <c r="D59" s="28">
        <f>IF(C59="yes",IF(D$4&lt;='Project Assumptions'!$E25,D43*0.5*WACC,0),0)</f>
        <v>768990.21816739161</v>
      </c>
      <c r="E59" s="28">
        <f>IF($C59="yes",IF(E$4&lt;='Project Assumptions'!$E25,SUM($D43:E43)*0.5*WACC,0),0)</f>
        <v>768990.21816739161</v>
      </c>
      <c r="F59" s="28">
        <f>IF($C59="yes",IF(F$4&lt;='Project Assumptions'!$E25,SUM($D43:F43)*0.5*WACC,0),0)</f>
        <v>0</v>
      </c>
      <c r="G59" s="28">
        <f>IF($C59="yes",IF(G$4&lt;='Project Assumptions'!$E25,SUM($D43:G43)*0.5*WACC,0),0)</f>
        <v>0</v>
      </c>
      <c r="H59" s="28">
        <f>IF($C59="yes",IF(H$4&lt;='Project Assumptions'!$E25,SUM($D43:H43)*0.5*WACC,0),0)</f>
        <v>0</v>
      </c>
      <c r="I59" s="28">
        <f>IF($C59="yes",IF(I$4&lt;='Project Assumptions'!$E25,SUM($D43:I43)*0.5*WACC,0),0)</f>
        <v>0</v>
      </c>
      <c r="J59" s="28">
        <f>IF($C59="yes",IF(J$4&lt;='Project Assumptions'!$E25,SUM($D43:J43)*0.5*WACC,0),0)</f>
        <v>0</v>
      </c>
      <c r="K59" s="28">
        <f>IF($C59="yes",IF(K$4&lt;='Project Assumptions'!$E25,SUM($D43:K43)*0.5*WACC,0),0)</f>
        <v>0</v>
      </c>
      <c r="L59" s="28">
        <f>IF($C59="yes",IF(L$4&lt;='Project Assumptions'!$E25,SUM($D43:L43)*0.5*WACC,0),0)</f>
        <v>0</v>
      </c>
      <c r="M59" s="28">
        <f>IF($C59="yes",IF(M$4&lt;='Project Assumptions'!$E25,SUM($D43:M43)*0.5*WACC,0),0)</f>
        <v>0</v>
      </c>
      <c r="N59" s="28">
        <f>IF($C59="yes",IF(N$4&lt;='Project Assumptions'!$E25,SUM($D43:N43)*0.5*WACC,0),0)</f>
        <v>0</v>
      </c>
      <c r="O59" s="28">
        <f>IF($C59="yes",IF(O$4&lt;='Project Assumptions'!$E25,SUM($D43:O43)*0.5*WACC,0),0)</f>
        <v>0</v>
      </c>
      <c r="P59" s="28">
        <f>IF($C59="yes",IF(P$4&lt;='Project Assumptions'!$E25,SUM($D43:P43)*0.5*WACC,0),0)</f>
        <v>0</v>
      </c>
      <c r="Q59" s="28">
        <f>IF($C59="yes",IF(Q$4&lt;='Project Assumptions'!$E25,SUM($D43:Q43)*0.5*WACC,0),0)</f>
        <v>0</v>
      </c>
      <c r="R59" s="28">
        <f>IF($C59="yes",IF(R$4&lt;='Project Assumptions'!$E25,SUM($D43:R43)*0.5*WACC,0),0)</f>
        <v>0</v>
      </c>
      <c r="S59" s="28">
        <f>IF($C59="yes",IF(S$4&lt;='Project Assumptions'!$E25,SUM($D43:S43)*0.5*WACC,0),0)</f>
        <v>0</v>
      </c>
      <c r="T59" s="28">
        <f>IF($C59="yes",IF(T$4&lt;='Project Assumptions'!$E25,SUM($D43:T43)*0.5*WACC,0),0)</f>
        <v>0</v>
      </c>
      <c r="U59" s="28">
        <f>IF($C59="yes",IF(U$4&lt;='Project Assumptions'!$E25,SUM($D43:U43)*0.5*WACC,0),0)</f>
        <v>0</v>
      </c>
      <c r="V59" s="28">
        <f>IF($C59="yes",IF(V$4&lt;='Project Assumptions'!$E25,SUM($D43:V43)*0.5*WACC,0),0)</f>
        <v>0</v>
      </c>
      <c r="W59" s="28">
        <f>IF($C59="yes",IF(W$4&lt;='Project Assumptions'!$E25,SUM($D43:W43)*0.5*WACC,0),0)</f>
        <v>0</v>
      </c>
      <c r="X59" s="28">
        <f>IF($C59="yes",IF(X$4&lt;='Project Assumptions'!$E25,SUM($D43:X43)*0.5*WACC,0),0)</f>
        <v>0</v>
      </c>
      <c r="Y59" s="28">
        <f>IF($C59="yes",IF(Y$4&lt;='Project Assumptions'!$E25,SUM($D43:Y43)*0.5*WACC,0),0)</f>
        <v>0</v>
      </c>
      <c r="Z59" s="28">
        <f>IF($C59="yes",IF(Z$4&lt;='Project Assumptions'!$E25,SUM($D43:Z43)*0.5*WACC,0),0)</f>
        <v>0</v>
      </c>
      <c r="AA59" s="28">
        <f>IF($C59="yes",IF(AA$4&lt;='Project Assumptions'!$E25,SUM($D43:AA43)*0.5*WACC,0),0)</f>
        <v>0</v>
      </c>
      <c r="AB59" s="28">
        <f>IF($C59="yes",IF(AB$4&lt;='Project Assumptions'!$E25,SUM($D43:AB43)*0.5*WACC,0),0)</f>
        <v>0</v>
      </c>
      <c r="AC59" s="28">
        <f>IF($C59="yes",IF(AC$4&lt;='Project Assumptions'!$E25,SUM($D43:AC43)*0.5*WACC,0),0)</f>
        <v>0</v>
      </c>
      <c r="AD59" s="28">
        <f>IF($C59="yes",IF(AD$4&lt;='Project Assumptions'!$E25,SUM($D43:AD43)*0.5*WACC,0),0)</f>
        <v>0</v>
      </c>
      <c r="AE59" s="28">
        <f>IF($C59="yes",IF(AE$4&lt;='Project Assumptions'!$E25,SUM($D43:AE43)*0.5*WACC,0),0)</f>
        <v>0</v>
      </c>
      <c r="AF59" s="28">
        <f>IF($C59="yes",IF(AF$4&lt;='Project Assumptions'!$E25,SUM($D43:AF43)*0.5*WACC,0),0)</f>
        <v>0</v>
      </c>
      <c r="AG59" s="28">
        <f>IF($C59="yes",IF(AG$4&lt;='Project Assumptions'!$E25,SUM($D43:AG43)*0.5*WACC,0),0)</f>
        <v>0</v>
      </c>
      <c r="AH59" s="28">
        <f>IF($C59="yes",IF(AH$4&lt;='Project Assumptions'!$E25,SUM($D43:AH43)*0.5*WACC,0),0)</f>
        <v>0</v>
      </c>
      <c r="AI59" s="28">
        <f>IF($C59="yes",IF(AI$4&lt;='Project Assumptions'!$E25,SUM($D43:AI43)*0.5*WACC,0),0)</f>
        <v>0</v>
      </c>
      <c r="AJ59" s="28">
        <f>IF($C59="yes",IF(AJ$4&lt;='Project Assumptions'!$E25,SUM($D43:AJ43)*0.5*WACC,0),0)</f>
        <v>0</v>
      </c>
      <c r="AK59" s="28">
        <f>IF($C59="yes",IF(AK$4&lt;='Project Assumptions'!$E25,SUM($D43:AK43)*0.5*WACC,0),0)</f>
        <v>0</v>
      </c>
      <c r="AL59" s="28">
        <f>IF($C59="yes",IF(AL$4&lt;='Project Assumptions'!$E25,SUM($D43:AL43)*0.5*WACC,0),0)</f>
        <v>0</v>
      </c>
      <c r="AM59" s="28">
        <f>IF($C59="yes",IF(AM$4&lt;='Project Assumptions'!$E25,SUM($D43:AM43)*0.5*WACC,0),0)</f>
        <v>0</v>
      </c>
      <c r="AN59" s="28">
        <f>IF($C59="yes",IF(AN$4&lt;='Project Assumptions'!$E25,SUM($D43:AN43)*0.5*WACC,0),0)</f>
        <v>0</v>
      </c>
      <c r="AO59" s="28">
        <f>IF($C59="yes",IF(AO$4&lt;='Project Assumptions'!$E25,SUM($D43:AO43)*0.5*WACC,0),0)</f>
        <v>0</v>
      </c>
      <c r="AP59" s="28">
        <f>IF($C59="yes",IF(AP$4&lt;='Project Assumptions'!$E25,SUM($D43:AP43)*0.5*WACC,0),0)</f>
        <v>0</v>
      </c>
      <c r="AQ59" s="28">
        <f>IF($C59="yes",IF(AQ$4&lt;='Project Assumptions'!$E25,SUM($D43:AQ43)*0.5*WACC,0),0)</f>
        <v>0</v>
      </c>
    </row>
    <row r="60" spans="1:43">
      <c r="B60" s="25" t="str">
        <f t="shared" si="23"/>
        <v>Capital Expenditure 2</v>
      </c>
      <c r="C60" s="329" t="str">
        <f>'Project Assumptions'!H26</f>
        <v>Yes</v>
      </c>
      <c r="D60" s="28">
        <f>IF(C60="yes",IF(D$4&lt;='Project Assumptions'!$E26,D44*0.5*WACC,0),0)</f>
        <v>0</v>
      </c>
      <c r="E60" s="28">
        <f>IF($C60="yes",IF(E$4&lt;='Project Assumptions'!$E26,SUM($D44:E44)*0.5*WACC,0),0)</f>
        <v>1256491.2962538491</v>
      </c>
      <c r="F60" s="28">
        <f>IF($C60="yes",IF(F$4&lt;='Project Assumptions'!$E26,SUM($D44:F44)*0.5*WACC,0),0)</f>
        <v>1256491.2962538491</v>
      </c>
      <c r="G60" s="28">
        <f>IF($C60="yes",IF(G$4&lt;='Project Assumptions'!$E26,SUM($D44:G44)*0.5*WACC,0),0)</f>
        <v>0</v>
      </c>
      <c r="H60" s="28">
        <f>IF($C60="yes",IF(H$4&lt;='Project Assumptions'!$E26,SUM($D44:H44)*0.5*WACC,0),0)</f>
        <v>0</v>
      </c>
      <c r="I60" s="28">
        <f>IF($C60="yes",IF(I$4&lt;='Project Assumptions'!$E26,SUM($D44:I44)*0.5*WACC,0),0)</f>
        <v>0</v>
      </c>
      <c r="J60" s="28">
        <f>IF($C60="yes",IF(J$4&lt;='Project Assumptions'!$E26,SUM($D44:J44)*0.5*WACC,0),0)</f>
        <v>0</v>
      </c>
      <c r="K60" s="28">
        <f>IF($C60="yes",IF(K$4&lt;='Project Assumptions'!$E26,SUM($D44:K44)*0.5*WACC,0),0)</f>
        <v>0</v>
      </c>
      <c r="L60" s="28">
        <f>IF($C60="yes",IF(L$4&lt;='Project Assumptions'!$E26,SUM($D44:L44)*0.5*WACC,0),0)</f>
        <v>0</v>
      </c>
      <c r="M60" s="28">
        <f>IF($C60="yes",IF(M$4&lt;='Project Assumptions'!$E26,SUM($D44:M44)*0.5*WACC,0),0)</f>
        <v>0</v>
      </c>
      <c r="N60" s="28">
        <f>IF($C60="yes",IF(N$4&lt;='Project Assumptions'!$E26,SUM($D44:N44)*0.5*WACC,0),0)</f>
        <v>0</v>
      </c>
      <c r="O60" s="28">
        <f>IF($C60="yes",IF(O$4&lt;='Project Assumptions'!$E26,SUM($D44:O44)*0.5*WACC,0),0)</f>
        <v>0</v>
      </c>
      <c r="P60" s="28">
        <f>IF($C60="yes",IF(P$4&lt;='Project Assumptions'!$E26,SUM($D44:P44)*0.5*WACC,0),0)</f>
        <v>0</v>
      </c>
      <c r="Q60" s="28">
        <f>IF($C60="yes",IF(Q$4&lt;='Project Assumptions'!$E26,SUM($D44:Q44)*0.5*WACC,0),0)</f>
        <v>0</v>
      </c>
      <c r="R60" s="28">
        <f>IF($C60="yes",IF(R$4&lt;='Project Assumptions'!$E26,SUM($D44:R44)*0.5*WACC,0),0)</f>
        <v>0</v>
      </c>
      <c r="S60" s="28">
        <f>IF($C60="yes",IF(S$4&lt;='Project Assumptions'!$E26,SUM($D44:S44)*0.5*WACC,0),0)</f>
        <v>0</v>
      </c>
      <c r="T60" s="28">
        <f>IF($C60="yes",IF(T$4&lt;='Project Assumptions'!$E26,SUM($D44:T44)*0.5*WACC,0),0)</f>
        <v>0</v>
      </c>
      <c r="U60" s="28">
        <f>IF($C60="yes",IF(U$4&lt;='Project Assumptions'!$E26,SUM($D44:U44)*0.5*WACC,0),0)</f>
        <v>0</v>
      </c>
      <c r="V60" s="28">
        <f>IF($C60="yes",IF(V$4&lt;='Project Assumptions'!$E26,SUM($D44:V44)*0.5*WACC,0),0)</f>
        <v>0</v>
      </c>
      <c r="W60" s="28">
        <f>IF($C60="yes",IF(W$4&lt;='Project Assumptions'!$E26,SUM($D44:W44)*0.5*WACC,0),0)</f>
        <v>0</v>
      </c>
      <c r="X60" s="28">
        <f>IF($C60="yes",IF(X$4&lt;='Project Assumptions'!$E26,SUM($D44:X44)*0.5*WACC,0),0)</f>
        <v>0</v>
      </c>
      <c r="Y60" s="28">
        <f>IF($C60="yes",IF(Y$4&lt;='Project Assumptions'!$E26,SUM($D44:Y44)*0.5*WACC,0),0)</f>
        <v>0</v>
      </c>
      <c r="Z60" s="28">
        <f>IF($C60="yes",IF(Z$4&lt;='Project Assumptions'!$E26,SUM($D44:Z44)*0.5*WACC,0),0)</f>
        <v>0</v>
      </c>
      <c r="AA60" s="28">
        <f>IF($C60="yes",IF(AA$4&lt;='Project Assumptions'!$E26,SUM($D44:AA44)*0.5*WACC,0),0)</f>
        <v>0</v>
      </c>
      <c r="AB60" s="28">
        <f>IF($C60="yes",IF(AB$4&lt;='Project Assumptions'!$E26,SUM($D44:AB44)*0.5*WACC,0),0)</f>
        <v>0</v>
      </c>
      <c r="AC60" s="28">
        <f>IF($C60="yes",IF(AC$4&lt;='Project Assumptions'!$E26,SUM($D44:AC44)*0.5*WACC,0),0)</f>
        <v>0</v>
      </c>
      <c r="AD60" s="28">
        <f>IF($C60="yes",IF(AD$4&lt;='Project Assumptions'!$E26,SUM($D44:AD44)*0.5*WACC,0),0)</f>
        <v>0</v>
      </c>
      <c r="AE60" s="28">
        <f>IF($C60="yes",IF(AE$4&lt;='Project Assumptions'!$E26,SUM($D44:AE44)*0.5*WACC,0),0)</f>
        <v>0</v>
      </c>
      <c r="AF60" s="28">
        <f>IF($C60="yes",IF(AF$4&lt;='Project Assumptions'!$E26,SUM($D44:AF44)*0.5*WACC,0),0)</f>
        <v>0</v>
      </c>
      <c r="AG60" s="28">
        <f>IF($C60="yes",IF(AG$4&lt;='Project Assumptions'!$E26,SUM($D44:AG44)*0.5*WACC,0),0)</f>
        <v>0</v>
      </c>
      <c r="AH60" s="28">
        <f>IF($C60="yes",IF(AH$4&lt;='Project Assumptions'!$E26,SUM($D44:AH44)*0.5*WACC,0),0)</f>
        <v>0</v>
      </c>
      <c r="AI60" s="28">
        <f>IF($C60="yes",IF(AI$4&lt;='Project Assumptions'!$E26,SUM($D44:AI44)*0.5*WACC,0),0)</f>
        <v>0</v>
      </c>
      <c r="AJ60" s="28">
        <f>IF($C60="yes",IF(AJ$4&lt;='Project Assumptions'!$E26,SUM($D44:AJ44)*0.5*WACC,0),0)</f>
        <v>0</v>
      </c>
      <c r="AK60" s="28">
        <f>IF($C60="yes",IF(AK$4&lt;='Project Assumptions'!$E26,SUM($D44:AK44)*0.5*WACC,0),0)</f>
        <v>0</v>
      </c>
      <c r="AL60" s="28">
        <f>IF($C60="yes",IF(AL$4&lt;='Project Assumptions'!$E26,SUM($D44:AL44)*0.5*WACC,0),0)</f>
        <v>0</v>
      </c>
      <c r="AM60" s="28">
        <f>IF($C60="yes",IF(AM$4&lt;='Project Assumptions'!$E26,SUM($D44:AM44)*0.5*WACC,0),0)</f>
        <v>0</v>
      </c>
      <c r="AN60" s="28">
        <f>IF($C60="yes",IF(AN$4&lt;='Project Assumptions'!$E26,SUM($D44:AN44)*0.5*WACC,0),0)</f>
        <v>0</v>
      </c>
      <c r="AO60" s="28">
        <f>IF($C60="yes",IF(AO$4&lt;='Project Assumptions'!$E26,SUM($D44:AO44)*0.5*WACC,0),0)</f>
        <v>0</v>
      </c>
      <c r="AP60" s="28">
        <f>IF($C60="yes",IF(AP$4&lt;='Project Assumptions'!$E26,SUM($D44:AP44)*0.5*WACC,0),0)</f>
        <v>0</v>
      </c>
      <c r="AQ60" s="28">
        <f>IF($C60="yes",IF(AQ$4&lt;='Project Assumptions'!$E26,SUM($D44:AQ44)*0.5*WACC,0),0)</f>
        <v>0</v>
      </c>
    </row>
    <row r="61" spans="1:43">
      <c r="B61" s="25" t="str">
        <f t="shared" si="23"/>
        <v>Capital Expenditure 3</v>
      </c>
      <c r="C61" s="329" t="str">
        <f>'Project Assumptions'!H27</f>
        <v>Yes</v>
      </c>
      <c r="D61" s="28">
        <f>IF(C61="yes",IF(D$4&lt;='Project Assumptions'!$E27,D45*0.5*WACC,0),0)</f>
        <v>0</v>
      </c>
      <c r="E61" s="28">
        <f>IF($C61="yes",IF(E$4&lt;='Project Assumptions'!$E27,SUM($D45:E45)*0.5*WACC,0),0)</f>
        <v>0</v>
      </c>
      <c r="F61" s="28">
        <f>IF($C61="yes",IF(F$4&lt;='Project Assumptions'!$E27,SUM($D45:F45)*0.5*WACC,0),0)</f>
        <v>2979955.8614297775</v>
      </c>
      <c r="G61" s="28">
        <f>IF($C61="yes",IF(G$4&lt;='Project Assumptions'!$E27,SUM($D45:G45)*0.5*WACC,0),0)</f>
        <v>2979955.8614297775</v>
      </c>
      <c r="H61" s="28">
        <f>IF($C61="yes",IF(H$4&lt;='Project Assumptions'!$E27,SUM($D45:H45)*0.5*WACC,0),0)</f>
        <v>0</v>
      </c>
      <c r="I61" s="28">
        <f>IF($C61="yes",IF(I$4&lt;='Project Assumptions'!$E27,SUM($D45:I45)*0.5*WACC,0),0)</f>
        <v>0</v>
      </c>
      <c r="J61" s="28">
        <f>IF($C61="yes",IF(J$4&lt;='Project Assumptions'!$E27,SUM($D45:J45)*0.5*WACC,0),0)</f>
        <v>0</v>
      </c>
      <c r="K61" s="28">
        <f>IF($C61="yes",IF(K$4&lt;='Project Assumptions'!$E27,SUM($D45:K45)*0.5*WACC,0),0)</f>
        <v>0</v>
      </c>
      <c r="L61" s="28">
        <f>IF($C61="yes",IF(L$4&lt;='Project Assumptions'!$E27,SUM($D45:L45)*0.5*WACC,0),0)</f>
        <v>0</v>
      </c>
      <c r="M61" s="28">
        <f>IF($C61="yes",IF(M$4&lt;='Project Assumptions'!$E27,SUM($D45:M45)*0.5*WACC,0),0)</f>
        <v>0</v>
      </c>
      <c r="N61" s="28">
        <f>IF($C61="yes",IF(N$4&lt;='Project Assumptions'!$E27,SUM($D45:N45)*0.5*WACC,0),0)</f>
        <v>0</v>
      </c>
      <c r="O61" s="28">
        <f>IF($C61="yes",IF(O$4&lt;='Project Assumptions'!$E27,SUM($D45:O45)*0.5*WACC,0),0)</f>
        <v>0</v>
      </c>
      <c r="P61" s="28">
        <f>IF($C61="yes",IF(P$4&lt;='Project Assumptions'!$E27,SUM($D45:P45)*0.5*WACC,0),0)</f>
        <v>0</v>
      </c>
      <c r="Q61" s="28">
        <f>IF($C61="yes",IF(Q$4&lt;='Project Assumptions'!$E27,SUM($D45:Q45)*0.5*WACC,0),0)</f>
        <v>0</v>
      </c>
      <c r="R61" s="28">
        <f>IF($C61="yes",IF(R$4&lt;='Project Assumptions'!$E27,SUM($D45:R45)*0.5*WACC,0),0)</f>
        <v>0</v>
      </c>
      <c r="S61" s="28">
        <f>IF($C61="yes",IF(S$4&lt;='Project Assumptions'!$E27,SUM($D45:S45)*0.5*WACC,0),0)</f>
        <v>0</v>
      </c>
      <c r="T61" s="28">
        <f>IF($C61="yes",IF(T$4&lt;='Project Assumptions'!$E27,SUM($D45:T45)*0.5*WACC,0),0)</f>
        <v>0</v>
      </c>
      <c r="U61" s="28">
        <f>IF($C61="yes",IF(U$4&lt;='Project Assumptions'!$E27,SUM($D45:U45)*0.5*WACC,0),0)</f>
        <v>0</v>
      </c>
      <c r="V61" s="28">
        <f>IF($C61="yes",IF(V$4&lt;='Project Assumptions'!$E27,SUM($D45:V45)*0.5*WACC,0),0)</f>
        <v>0</v>
      </c>
      <c r="W61" s="28">
        <f>IF($C61="yes",IF(W$4&lt;='Project Assumptions'!$E27,SUM($D45:W45)*0.5*WACC,0),0)</f>
        <v>0</v>
      </c>
      <c r="X61" s="28">
        <f>IF($C61="yes",IF(X$4&lt;='Project Assumptions'!$E27,SUM($D45:X45)*0.5*WACC,0),0)</f>
        <v>0</v>
      </c>
      <c r="Y61" s="28">
        <f>IF($C61="yes",IF(Y$4&lt;='Project Assumptions'!$E27,SUM($D45:Y45)*0.5*WACC,0),0)</f>
        <v>0</v>
      </c>
      <c r="Z61" s="28">
        <f>IF($C61="yes",IF(Z$4&lt;='Project Assumptions'!$E27,SUM($D45:Z45)*0.5*WACC,0),0)</f>
        <v>0</v>
      </c>
      <c r="AA61" s="28">
        <f>IF($C61="yes",IF(AA$4&lt;='Project Assumptions'!$E27,SUM($D45:AA45)*0.5*WACC,0),0)</f>
        <v>0</v>
      </c>
      <c r="AB61" s="28">
        <f>IF($C61="yes",IF(AB$4&lt;='Project Assumptions'!$E27,SUM($D45:AB45)*0.5*WACC,0),0)</f>
        <v>0</v>
      </c>
      <c r="AC61" s="28">
        <f>IF($C61="yes",IF(AC$4&lt;='Project Assumptions'!$E27,SUM($D45:AC45)*0.5*WACC,0),0)</f>
        <v>0</v>
      </c>
      <c r="AD61" s="28">
        <f>IF($C61="yes",IF(AD$4&lt;='Project Assumptions'!$E27,SUM($D45:AD45)*0.5*WACC,0),0)</f>
        <v>0</v>
      </c>
      <c r="AE61" s="28">
        <f>IF($C61="yes",IF(AE$4&lt;='Project Assumptions'!$E27,SUM($D45:AE45)*0.5*WACC,0),0)</f>
        <v>0</v>
      </c>
      <c r="AF61" s="28">
        <f>IF($C61="yes",IF(AF$4&lt;='Project Assumptions'!$E27,SUM($D45:AF45)*0.5*WACC,0),0)</f>
        <v>0</v>
      </c>
      <c r="AG61" s="28">
        <f>IF($C61="yes",IF(AG$4&lt;='Project Assumptions'!$E27,SUM($D45:AG45)*0.5*WACC,0),0)</f>
        <v>0</v>
      </c>
      <c r="AH61" s="28">
        <f>IF($C61="yes",IF(AH$4&lt;='Project Assumptions'!$E27,SUM($D45:AH45)*0.5*WACC,0),0)</f>
        <v>0</v>
      </c>
      <c r="AI61" s="28">
        <f>IF($C61="yes",IF(AI$4&lt;='Project Assumptions'!$E27,SUM($D45:AI45)*0.5*WACC,0),0)</f>
        <v>0</v>
      </c>
      <c r="AJ61" s="28">
        <f>IF($C61="yes",IF(AJ$4&lt;='Project Assumptions'!$E27,SUM($D45:AJ45)*0.5*WACC,0),0)</f>
        <v>0</v>
      </c>
      <c r="AK61" s="28">
        <f>IF($C61="yes",IF(AK$4&lt;='Project Assumptions'!$E27,SUM($D45:AK45)*0.5*WACC,0),0)</f>
        <v>0</v>
      </c>
      <c r="AL61" s="28">
        <f>IF($C61="yes",IF(AL$4&lt;='Project Assumptions'!$E27,SUM($D45:AL45)*0.5*WACC,0),0)</f>
        <v>0</v>
      </c>
      <c r="AM61" s="28">
        <f>IF($C61="yes",IF(AM$4&lt;='Project Assumptions'!$E27,SUM($D45:AM45)*0.5*WACC,0),0)</f>
        <v>0</v>
      </c>
      <c r="AN61" s="28">
        <f>IF($C61="yes",IF(AN$4&lt;='Project Assumptions'!$E27,SUM($D45:AN45)*0.5*WACC,0),0)</f>
        <v>0</v>
      </c>
      <c r="AO61" s="28">
        <f>IF($C61="yes",IF(AO$4&lt;='Project Assumptions'!$E27,SUM($D45:AO45)*0.5*WACC,0),0)</f>
        <v>0</v>
      </c>
      <c r="AP61" s="28">
        <f>IF($C61="yes",IF(AP$4&lt;='Project Assumptions'!$E27,SUM($D45:AP45)*0.5*WACC,0),0)</f>
        <v>0</v>
      </c>
      <c r="AQ61" s="28">
        <f>IF($C61="yes",IF(AQ$4&lt;='Project Assumptions'!$E27,SUM($D45:AQ45)*0.5*WACC,0),0)</f>
        <v>0</v>
      </c>
    </row>
    <row r="62" spans="1:43">
      <c r="B62" s="25" t="str">
        <f t="shared" si="23"/>
        <v xml:space="preserve">Capital Expenditure 4 </v>
      </c>
      <c r="C62" s="329" t="str">
        <f>'Project Assumptions'!H28</f>
        <v>Yes</v>
      </c>
      <c r="D62" s="28">
        <f>IF(C62="yes",IF(D$4&lt;='Project Assumptions'!$E28,D46*0.5*WACC,0),0)</f>
        <v>0</v>
      </c>
      <c r="E62" s="28">
        <f>IF($C62="yes",IF(E$4&lt;='Project Assumptions'!$E28,SUM($D46:E46)*0.5*WACC,0),0)</f>
        <v>0</v>
      </c>
      <c r="F62" s="28">
        <f>IF($C62="yes",IF(F$4&lt;='Project Assumptions'!$E28,SUM($D46:F46)*0.5*WACC,0),0)</f>
        <v>0</v>
      </c>
      <c r="G62" s="28">
        <f>IF($C62="yes",IF(G$4&lt;='Project Assumptions'!$E28,SUM($D46:G46)*0.5*WACC,0),0)</f>
        <v>2469332.2601552834</v>
      </c>
      <c r="H62" s="28">
        <f>IF($C62="yes",IF(H$4&lt;='Project Assumptions'!$E28,SUM($D46:H46)*0.5*WACC,0),0)</f>
        <v>2469332.2601552834</v>
      </c>
      <c r="I62" s="28">
        <f>IF($C62="yes",IF(I$4&lt;='Project Assumptions'!$E28,SUM($D46:I46)*0.5*WACC,0),0)</f>
        <v>0</v>
      </c>
      <c r="J62" s="28">
        <f>IF($C62="yes",IF(J$4&lt;='Project Assumptions'!$E28,SUM($D46:J46)*0.5*WACC,0),0)</f>
        <v>0</v>
      </c>
      <c r="K62" s="28">
        <f>IF($C62="yes",IF(K$4&lt;='Project Assumptions'!$E28,SUM($D46:K46)*0.5*WACC,0),0)</f>
        <v>0</v>
      </c>
      <c r="L62" s="28">
        <f>IF($C62="yes",IF(L$4&lt;='Project Assumptions'!$E28,SUM($D46:L46)*0.5*WACC,0),0)</f>
        <v>0</v>
      </c>
      <c r="M62" s="28">
        <f>IF($C62="yes",IF(M$4&lt;='Project Assumptions'!$E28,SUM($D46:M46)*0.5*WACC,0),0)</f>
        <v>0</v>
      </c>
      <c r="N62" s="28">
        <f>IF($C62="yes",IF(N$4&lt;='Project Assumptions'!$E28,SUM($D46:N46)*0.5*WACC,0),0)</f>
        <v>0</v>
      </c>
      <c r="O62" s="28">
        <f>IF($C62="yes",IF(O$4&lt;='Project Assumptions'!$E28,SUM($D46:O46)*0.5*WACC,0),0)</f>
        <v>0</v>
      </c>
      <c r="P62" s="28">
        <f>IF($C62="yes",IF(P$4&lt;='Project Assumptions'!$E28,SUM($D46:P46)*0.5*WACC,0),0)</f>
        <v>0</v>
      </c>
      <c r="Q62" s="28">
        <f>IF($C62="yes",IF(Q$4&lt;='Project Assumptions'!$E28,SUM($D46:Q46)*0.5*WACC,0),0)</f>
        <v>0</v>
      </c>
      <c r="R62" s="28">
        <f>IF($C62="yes",IF(R$4&lt;='Project Assumptions'!$E28,SUM($D46:R46)*0.5*WACC,0),0)</f>
        <v>0</v>
      </c>
      <c r="S62" s="28">
        <f>IF($C62="yes",IF(S$4&lt;='Project Assumptions'!$E28,SUM($D46:S46)*0.5*WACC,0),0)</f>
        <v>0</v>
      </c>
      <c r="T62" s="28">
        <f>IF($C62="yes",IF(T$4&lt;='Project Assumptions'!$E28,SUM($D46:T46)*0.5*WACC,0),0)</f>
        <v>0</v>
      </c>
      <c r="U62" s="28">
        <f>IF($C62="yes",IF(U$4&lt;='Project Assumptions'!$E28,SUM($D46:U46)*0.5*WACC,0),0)</f>
        <v>0</v>
      </c>
      <c r="V62" s="28">
        <f>IF($C62="yes",IF(V$4&lt;='Project Assumptions'!$E28,SUM($D46:V46)*0.5*WACC,0),0)</f>
        <v>0</v>
      </c>
      <c r="W62" s="28">
        <f>IF($C62="yes",IF(W$4&lt;='Project Assumptions'!$E28,SUM($D46:W46)*0.5*WACC,0),0)</f>
        <v>0</v>
      </c>
      <c r="X62" s="28">
        <f>IF($C62="yes",IF(X$4&lt;='Project Assumptions'!$E28,SUM($D46:X46)*0.5*WACC,0),0)</f>
        <v>0</v>
      </c>
      <c r="Y62" s="28">
        <f>IF($C62="yes",IF(Y$4&lt;='Project Assumptions'!$E28,SUM($D46:Y46)*0.5*WACC,0),0)</f>
        <v>0</v>
      </c>
      <c r="Z62" s="28">
        <f>IF($C62="yes",IF(Z$4&lt;='Project Assumptions'!$E28,SUM($D46:Z46)*0.5*WACC,0),0)</f>
        <v>0</v>
      </c>
      <c r="AA62" s="28">
        <f>IF($C62="yes",IF(AA$4&lt;='Project Assumptions'!$E28,SUM($D46:AA46)*0.5*WACC,0),0)</f>
        <v>0</v>
      </c>
      <c r="AB62" s="28">
        <f>IF($C62="yes",IF(AB$4&lt;='Project Assumptions'!$E28,SUM($D46:AB46)*0.5*WACC,0),0)</f>
        <v>0</v>
      </c>
      <c r="AC62" s="28">
        <f>IF($C62="yes",IF(AC$4&lt;='Project Assumptions'!$E28,SUM($D46:AC46)*0.5*WACC,0),0)</f>
        <v>0</v>
      </c>
      <c r="AD62" s="28">
        <f>IF($C62="yes",IF(AD$4&lt;='Project Assumptions'!$E28,SUM($D46:AD46)*0.5*WACC,0),0)</f>
        <v>0</v>
      </c>
      <c r="AE62" s="28">
        <f>IF($C62="yes",IF(AE$4&lt;='Project Assumptions'!$E28,SUM($D46:AE46)*0.5*WACC,0),0)</f>
        <v>0</v>
      </c>
      <c r="AF62" s="28">
        <f>IF($C62="yes",IF(AF$4&lt;='Project Assumptions'!$E28,SUM($D46:AF46)*0.5*WACC,0),0)</f>
        <v>0</v>
      </c>
      <c r="AG62" s="28">
        <f>IF($C62="yes",IF(AG$4&lt;='Project Assumptions'!$E28,SUM($D46:AG46)*0.5*WACC,0),0)</f>
        <v>0</v>
      </c>
      <c r="AH62" s="28">
        <f>IF($C62="yes",IF(AH$4&lt;='Project Assumptions'!$E28,SUM($D46:AH46)*0.5*WACC,0),0)</f>
        <v>0</v>
      </c>
      <c r="AI62" s="28">
        <f>IF($C62="yes",IF(AI$4&lt;='Project Assumptions'!$E28,SUM($D46:AI46)*0.5*WACC,0),0)</f>
        <v>0</v>
      </c>
      <c r="AJ62" s="28">
        <f>IF($C62="yes",IF(AJ$4&lt;='Project Assumptions'!$E28,SUM($D46:AJ46)*0.5*WACC,0),0)</f>
        <v>0</v>
      </c>
      <c r="AK62" s="28">
        <f>IF($C62="yes",IF(AK$4&lt;='Project Assumptions'!$E28,SUM($D46:AK46)*0.5*WACC,0),0)</f>
        <v>0</v>
      </c>
      <c r="AL62" s="28">
        <f>IF($C62="yes",IF(AL$4&lt;='Project Assumptions'!$E28,SUM($D46:AL46)*0.5*WACC,0),0)</f>
        <v>0</v>
      </c>
      <c r="AM62" s="28">
        <f>IF($C62="yes",IF(AM$4&lt;='Project Assumptions'!$E28,SUM($D46:AM46)*0.5*WACC,0),0)</f>
        <v>0</v>
      </c>
      <c r="AN62" s="28">
        <f>IF($C62="yes",IF(AN$4&lt;='Project Assumptions'!$E28,SUM($D46:AN46)*0.5*WACC,0),0)</f>
        <v>0</v>
      </c>
      <c r="AO62" s="28">
        <f>IF($C62="yes",IF(AO$4&lt;='Project Assumptions'!$E28,SUM($D46:AO46)*0.5*WACC,0),0)</f>
        <v>0</v>
      </c>
      <c r="AP62" s="28">
        <f>IF($C62="yes",IF(AP$4&lt;='Project Assumptions'!$E28,SUM($D46:AP46)*0.5*WACC,0),0)</f>
        <v>0</v>
      </c>
      <c r="AQ62" s="28">
        <f>IF($C62="yes",IF(AQ$4&lt;='Project Assumptions'!$E28,SUM($D46:AQ46)*0.5*WACC,0),0)</f>
        <v>0</v>
      </c>
    </row>
    <row r="63" spans="1:43">
      <c r="B63" s="25" t="str">
        <f t="shared" si="23"/>
        <v xml:space="preserve">Capital Expenditure 5 </v>
      </c>
      <c r="C63" s="329" t="str">
        <f>'Project Assumptions'!H29</f>
        <v>Yes</v>
      </c>
      <c r="D63" s="28">
        <f>IF(C63="yes",IF(D$4&lt;='Project Assumptions'!$E29,D47*0.5*WACC,0),0)</f>
        <v>0</v>
      </c>
      <c r="E63" s="28">
        <f>IF($C63="yes",IF(E$4&lt;='Project Assumptions'!$E29,SUM($D47:E47)*0.5*WACC,0),0)</f>
        <v>0</v>
      </c>
      <c r="F63" s="28">
        <f>IF($C63="yes",IF(F$4&lt;='Project Assumptions'!$E29,SUM($D47:F47)*0.5*WACC,0),0)</f>
        <v>0</v>
      </c>
      <c r="G63" s="28">
        <f>IF($C63="yes",IF(G$4&lt;='Project Assumptions'!$E29,SUM($D47:G47)*0.5*WACC,0),0)</f>
        <v>0</v>
      </c>
      <c r="H63" s="28">
        <f>IF($C63="yes",IF(H$4&lt;='Project Assumptions'!$E29,SUM($D47:H47)*0.5*WACC,0),0)</f>
        <v>2555797.622351246</v>
      </c>
      <c r="I63" s="28">
        <f>IF($C63="yes",IF(I$4&lt;='Project Assumptions'!$E29,SUM($D47:I47)*0.5*WACC,0),0)</f>
        <v>2555797.622351246</v>
      </c>
      <c r="J63" s="28">
        <f>IF($C63="yes",IF(J$4&lt;='Project Assumptions'!$E29,SUM($D47:J47)*0.5*WACC,0),0)</f>
        <v>0</v>
      </c>
      <c r="K63" s="28">
        <f>IF($C63="yes",IF(K$4&lt;='Project Assumptions'!$E29,SUM($D47:K47)*0.5*WACC,0),0)</f>
        <v>0</v>
      </c>
      <c r="L63" s="28">
        <f>IF($C63="yes",IF(L$4&lt;='Project Assumptions'!$E29,SUM($D47:L47)*0.5*WACC,0),0)</f>
        <v>0</v>
      </c>
      <c r="M63" s="28">
        <f>IF($C63="yes",IF(M$4&lt;='Project Assumptions'!$E29,SUM($D47:M47)*0.5*WACC,0),0)</f>
        <v>0</v>
      </c>
      <c r="N63" s="28">
        <f>IF($C63="yes",IF(N$4&lt;='Project Assumptions'!$E29,SUM($D47:N47)*0.5*WACC,0),0)</f>
        <v>0</v>
      </c>
      <c r="O63" s="28">
        <f>IF($C63="yes",IF(O$4&lt;='Project Assumptions'!$E29,SUM($D47:O47)*0.5*WACC,0),0)</f>
        <v>0</v>
      </c>
      <c r="P63" s="28">
        <f>IF($C63="yes",IF(P$4&lt;='Project Assumptions'!$E29,SUM($D47:P47)*0.5*WACC,0),0)</f>
        <v>0</v>
      </c>
      <c r="Q63" s="28">
        <f>IF($C63="yes",IF(Q$4&lt;='Project Assumptions'!$E29,SUM($D47:Q47)*0.5*WACC,0),0)</f>
        <v>0</v>
      </c>
      <c r="R63" s="28">
        <f>IF($C63="yes",IF(R$4&lt;='Project Assumptions'!$E29,SUM($D47:R47)*0.5*WACC,0),0)</f>
        <v>0</v>
      </c>
      <c r="S63" s="28">
        <f>IF($C63="yes",IF(S$4&lt;='Project Assumptions'!$E29,SUM($D47:S47)*0.5*WACC,0),0)</f>
        <v>0</v>
      </c>
      <c r="T63" s="28">
        <f>IF($C63="yes",IF(T$4&lt;='Project Assumptions'!$E29,SUM($D47:T47)*0.5*WACC,0),0)</f>
        <v>0</v>
      </c>
      <c r="U63" s="28">
        <f>IF($C63="yes",IF(U$4&lt;='Project Assumptions'!$E29,SUM($D47:U47)*0.5*WACC,0),0)</f>
        <v>0</v>
      </c>
      <c r="V63" s="28">
        <f>IF($C63="yes",IF(V$4&lt;='Project Assumptions'!$E29,SUM($D47:V47)*0.5*WACC,0),0)</f>
        <v>0</v>
      </c>
      <c r="W63" s="28">
        <f>IF($C63="yes",IF(W$4&lt;='Project Assumptions'!$E29,SUM($D47:W47)*0.5*WACC,0),0)</f>
        <v>0</v>
      </c>
      <c r="X63" s="28">
        <f>IF($C63="yes",IF(X$4&lt;='Project Assumptions'!$E29,SUM($D47:X47)*0.5*WACC,0),0)</f>
        <v>0</v>
      </c>
      <c r="Y63" s="28">
        <f>IF($C63="yes",IF(Y$4&lt;='Project Assumptions'!$E29,SUM($D47:Y47)*0.5*WACC,0),0)</f>
        <v>0</v>
      </c>
      <c r="Z63" s="28">
        <f>IF($C63="yes",IF(Z$4&lt;='Project Assumptions'!$E29,SUM($D47:Z47)*0.5*WACC,0),0)</f>
        <v>0</v>
      </c>
      <c r="AA63" s="28">
        <f>IF($C63="yes",IF(AA$4&lt;='Project Assumptions'!$E29,SUM($D47:AA47)*0.5*WACC,0),0)</f>
        <v>0</v>
      </c>
      <c r="AB63" s="28">
        <f>IF($C63="yes",IF(AB$4&lt;='Project Assumptions'!$E29,SUM($D47:AB47)*0.5*WACC,0),0)</f>
        <v>0</v>
      </c>
      <c r="AC63" s="28">
        <f>IF($C63="yes",IF(AC$4&lt;='Project Assumptions'!$E29,SUM($D47:AC47)*0.5*WACC,0),0)</f>
        <v>0</v>
      </c>
      <c r="AD63" s="28">
        <f>IF($C63="yes",IF(AD$4&lt;='Project Assumptions'!$E29,SUM($D47:AD47)*0.5*WACC,0),0)</f>
        <v>0</v>
      </c>
      <c r="AE63" s="28">
        <f>IF($C63="yes",IF(AE$4&lt;='Project Assumptions'!$E29,SUM($D47:AE47)*0.5*WACC,0),0)</f>
        <v>0</v>
      </c>
      <c r="AF63" s="28">
        <f>IF($C63="yes",IF(AF$4&lt;='Project Assumptions'!$E29,SUM($D47:AF47)*0.5*WACC,0),0)</f>
        <v>0</v>
      </c>
      <c r="AG63" s="28">
        <f>IF($C63="yes",IF(AG$4&lt;='Project Assumptions'!$E29,SUM($D47:AG47)*0.5*WACC,0),0)</f>
        <v>0</v>
      </c>
      <c r="AH63" s="28">
        <f>IF($C63="yes",IF(AH$4&lt;='Project Assumptions'!$E29,SUM($D47:AH47)*0.5*WACC,0),0)</f>
        <v>0</v>
      </c>
      <c r="AI63" s="28">
        <f>IF($C63="yes",IF(AI$4&lt;='Project Assumptions'!$E29,SUM($D47:AI47)*0.5*WACC,0),0)</f>
        <v>0</v>
      </c>
      <c r="AJ63" s="28">
        <f>IF($C63="yes",IF(AJ$4&lt;='Project Assumptions'!$E29,SUM($D47:AJ47)*0.5*WACC,0),0)</f>
        <v>0</v>
      </c>
      <c r="AK63" s="28">
        <f>IF($C63="yes",IF(AK$4&lt;='Project Assumptions'!$E29,SUM($D47:AK47)*0.5*WACC,0),0)</f>
        <v>0</v>
      </c>
      <c r="AL63" s="28">
        <f>IF($C63="yes",IF(AL$4&lt;='Project Assumptions'!$E29,SUM($D47:AL47)*0.5*WACC,0),0)</f>
        <v>0</v>
      </c>
      <c r="AM63" s="28">
        <f>IF($C63="yes",IF(AM$4&lt;='Project Assumptions'!$E29,SUM($D47:AM47)*0.5*WACC,0),0)</f>
        <v>0</v>
      </c>
      <c r="AN63" s="28">
        <f>IF($C63="yes",IF(AN$4&lt;='Project Assumptions'!$E29,SUM($D47:AN47)*0.5*WACC,0),0)</f>
        <v>0</v>
      </c>
      <c r="AO63" s="28">
        <f>IF($C63="yes",IF(AO$4&lt;='Project Assumptions'!$E29,SUM($D47:AO47)*0.5*WACC,0),0)</f>
        <v>0</v>
      </c>
      <c r="AP63" s="28">
        <f>IF($C63="yes",IF(AP$4&lt;='Project Assumptions'!$E29,SUM($D47:AP47)*0.5*WACC,0),0)</f>
        <v>0</v>
      </c>
      <c r="AQ63" s="28">
        <f>IF($C63="yes",IF(AQ$4&lt;='Project Assumptions'!$E29,SUM($D47:AQ47)*0.5*WACC,0),0)</f>
        <v>0</v>
      </c>
    </row>
    <row r="64" spans="1:43">
      <c r="A64" s="51"/>
      <c r="B64" s="25" t="str">
        <f t="shared" si="23"/>
        <v xml:space="preserve">Capital Expenditure 6 </v>
      </c>
      <c r="C64" s="329" t="str">
        <f>'Project Assumptions'!H30</f>
        <v>Yes</v>
      </c>
      <c r="D64" s="28">
        <f>IF(C64="yes",IF(D$4&lt;='Project Assumptions'!$E30,D48*0.5*WACC,0),0)</f>
        <v>0</v>
      </c>
      <c r="E64" s="28">
        <f>IF($C64="yes",IF(E$4&lt;='Project Assumptions'!$E30,SUM($D48:E48)*0.5*WACC,0),0)</f>
        <v>0</v>
      </c>
      <c r="F64" s="28">
        <f>IF($C64="yes",IF(F$4&lt;='Project Assumptions'!$E30,SUM($D48:F48)*0.5*WACC,0),0)</f>
        <v>0</v>
      </c>
      <c r="G64" s="28">
        <f>IF($C64="yes",IF(G$4&lt;='Project Assumptions'!$E30,SUM($D48:G48)*0.5*WACC,0),0)</f>
        <v>0</v>
      </c>
      <c r="H64" s="28">
        <f>IF($C64="yes",IF(H$4&lt;='Project Assumptions'!$E30,SUM($D48:H48)*0.5*WACC,0),0)</f>
        <v>0</v>
      </c>
      <c r="I64" s="28">
        <f>IF($C64="yes",IF(I$4&lt;='Project Assumptions'!$E30,SUM($D48:I48)*0.5*WACC,0),0)</f>
        <v>2632471.5510217827</v>
      </c>
      <c r="J64" s="28">
        <f>IF($C64="yes",IF(J$4&lt;='Project Assumptions'!$E30,SUM($D48:J48)*0.5*WACC,0),0)</f>
        <v>2632471.5510217827</v>
      </c>
      <c r="K64" s="28">
        <f>IF($C64="yes",IF(K$4&lt;='Project Assumptions'!$E30,SUM($D48:K48)*0.5*WACC,0),0)</f>
        <v>0</v>
      </c>
      <c r="L64" s="28">
        <f>IF($C64="yes",IF(L$4&lt;='Project Assumptions'!$E30,SUM($D48:L48)*0.5*WACC,0),0)</f>
        <v>0</v>
      </c>
      <c r="M64" s="28">
        <f>IF($C64="yes",IF(M$4&lt;='Project Assumptions'!$E30,SUM($D48:M48)*0.5*WACC,0),0)</f>
        <v>0</v>
      </c>
      <c r="N64" s="28">
        <f>IF($C64="yes",IF(N$4&lt;='Project Assumptions'!$E30,SUM($D48:N48)*0.5*WACC,0),0)</f>
        <v>0</v>
      </c>
      <c r="O64" s="28">
        <f>IF($C64="yes",IF(O$4&lt;='Project Assumptions'!$E30,SUM($D48:O48)*0.5*WACC,0),0)</f>
        <v>0</v>
      </c>
      <c r="P64" s="28">
        <f>IF($C64="yes",IF(P$4&lt;='Project Assumptions'!$E30,SUM($D48:P48)*0.5*WACC,0),0)</f>
        <v>0</v>
      </c>
      <c r="Q64" s="28">
        <f>IF($C64="yes",IF(Q$4&lt;='Project Assumptions'!$E30,SUM($D48:Q48)*0.5*WACC,0),0)</f>
        <v>0</v>
      </c>
      <c r="R64" s="28">
        <f>IF($C64="yes",IF(R$4&lt;='Project Assumptions'!$E30,SUM($D48:R48)*0.5*WACC,0),0)</f>
        <v>0</v>
      </c>
      <c r="S64" s="28">
        <f>IF($C64="yes",IF(S$4&lt;='Project Assumptions'!$E30,SUM($D48:S48)*0.5*WACC,0),0)</f>
        <v>0</v>
      </c>
      <c r="T64" s="28">
        <f>IF($C64="yes",IF(T$4&lt;='Project Assumptions'!$E30,SUM($D48:T48)*0.5*WACC,0),0)</f>
        <v>0</v>
      </c>
      <c r="U64" s="28">
        <f>IF($C64="yes",IF(U$4&lt;='Project Assumptions'!$E30,SUM($D48:U48)*0.5*WACC,0),0)</f>
        <v>0</v>
      </c>
      <c r="V64" s="28">
        <f>IF($C64="yes",IF(V$4&lt;='Project Assumptions'!$E30,SUM($D48:V48)*0.5*WACC,0),0)</f>
        <v>0</v>
      </c>
      <c r="W64" s="28">
        <f>IF($C64="yes",IF(W$4&lt;='Project Assumptions'!$E30,SUM($D48:W48)*0.5*WACC,0),0)</f>
        <v>0</v>
      </c>
      <c r="X64" s="28">
        <f>IF($C64="yes",IF(X$4&lt;='Project Assumptions'!$E30,SUM($D48:X48)*0.5*WACC,0),0)</f>
        <v>0</v>
      </c>
      <c r="Y64" s="28">
        <f>IF($C64="yes",IF(Y$4&lt;='Project Assumptions'!$E30,SUM($D48:Y48)*0.5*WACC,0),0)</f>
        <v>0</v>
      </c>
      <c r="Z64" s="28">
        <f>IF($C64="yes",IF(Z$4&lt;='Project Assumptions'!$E30,SUM($D48:Z48)*0.5*WACC,0),0)</f>
        <v>0</v>
      </c>
      <c r="AA64" s="28">
        <f>IF($C64="yes",IF(AA$4&lt;='Project Assumptions'!$E30,SUM($D48:AA48)*0.5*WACC,0),0)</f>
        <v>0</v>
      </c>
      <c r="AB64" s="28">
        <f>IF($C64="yes",IF(AB$4&lt;='Project Assumptions'!$E30,SUM($D48:AB48)*0.5*WACC,0),0)</f>
        <v>0</v>
      </c>
      <c r="AC64" s="28">
        <f>IF($C64="yes",IF(AC$4&lt;='Project Assumptions'!$E30,SUM($D48:AC48)*0.5*WACC,0),0)</f>
        <v>0</v>
      </c>
      <c r="AD64" s="28">
        <f>IF($C64="yes",IF(AD$4&lt;='Project Assumptions'!$E30,SUM($D48:AD48)*0.5*WACC,0),0)</f>
        <v>0</v>
      </c>
      <c r="AE64" s="28">
        <f>IF($C64="yes",IF(AE$4&lt;='Project Assumptions'!$E30,SUM($D48:AE48)*0.5*WACC,0),0)</f>
        <v>0</v>
      </c>
      <c r="AF64" s="28">
        <f>IF($C64="yes",IF(AF$4&lt;='Project Assumptions'!$E30,SUM($D48:AF48)*0.5*WACC,0),0)</f>
        <v>0</v>
      </c>
      <c r="AG64" s="28">
        <f>IF($C64="yes",IF(AG$4&lt;='Project Assumptions'!$E30,SUM($D48:AG48)*0.5*WACC,0),0)</f>
        <v>0</v>
      </c>
      <c r="AH64" s="28">
        <f>IF($C64="yes",IF(AH$4&lt;='Project Assumptions'!$E30,SUM($D48:AH48)*0.5*WACC,0),0)</f>
        <v>0</v>
      </c>
      <c r="AI64" s="28">
        <f>IF($C64="yes",IF(AI$4&lt;='Project Assumptions'!$E30,SUM($D48:AI48)*0.5*WACC,0),0)</f>
        <v>0</v>
      </c>
      <c r="AJ64" s="28">
        <f>IF($C64="yes",IF(AJ$4&lt;='Project Assumptions'!$E30,SUM($D48:AJ48)*0.5*WACC,0),0)</f>
        <v>0</v>
      </c>
      <c r="AK64" s="28">
        <f>IF($C64="yes",IF(AK$4&lt;='Project Assumptions'!$E30,SUM($D48:AK48)*0.5*WACC,0),0)</f>
        <v>0</v>
      </c>
      <c r="AL64" s="28">
        <f>IF($C64="yes",IF(AL$4&lt;='Project Assumptions'!$E30,SUM($D48:AL48)*0.5*WACC,0),0)</f>
        <v>0</v>
      </c>
      <c r="AM64" s="28">
        <f>IF($C64="yes",IF(AM$4&lt;='Project Assumptions'!$E30,SUM($D48:AM48)*0.5*WACC,0),0)</f>
        <v>0</v>
      </c>
      <c r="AN64" s="28">
        <f>IF($C64="yes",IF(AN$4&lt;='Project Assumptions'!$E30,SUM($D48:AN48)*0.5*WACC,0),0)</f>
        <v>0</v>
      </c>
      <c r="AO64" s="28">
        <f>IF($C64="yes",IF(AO$4&lt;='Project Assumptions'!$E30,SUM($D48:AO48)*0.5*WACC,0),0)</f>
        <v>0</v>
      </c>
      <c r="AP64" s="28">
        <f>IF($C64="yes",IF(AP$4&lt;='Project Assumptions'!$E30,SUM($D48:AP48)*0.5*WACC,0),0)</f>
        <v>0</v>
      </c>
      <c r="AQ64" s="28">
        <f>IF($C64="yes",IF(AQ$4&lt;='Project Assumptions'!$E30,SUM($D48:AQ48)*0.5*WACC,0),0)</f>
        <v>0</v>
      </c>
    </row>
    <row r="65" spans="1:43">
      <c r="B65" s="25" t="str">
        <f t="shared" si="23"/>
        <v>Capital Expenditure 7</v>
      </c>
      <c r="C65" s="329" t="str">
        <f>'Project Assumptions'!H31</f>
        <v>Yes</v>
      </c>
      <c r="D65" s="28">
        <f>IF(C65="yes",IF(D$4&lt;='Project Assumptions'!$E31,D49*0.5*WACC,0),0)</f>
        <v>0</v>
      </c>
      <c r="E65" s="28">
        <f>IF($C65="yes",IF(E$4&lt;='Project Assumptions'!$E31,SUM($D49:E49)*0.5*WACC,0),0)</f>
        <v>0</v>
      </c>
      <c r="F65" s="28">
        <f>IF($C65="yes",IF(F$4&lt;='Project Assumptions'!$E31,SUM($D49:F49)*0.5*WACC,0),0)</f>
        <v>0</v>
      </c>
      <c r="G65" s="28">
        <f>IF($C65="yes",IF(G$4&lt;='Project Assumptions'!$E31,SUM($D49:G49)*0.5*WACC,0),0)</f>
        <v>0</v>
      </c>
      <c r="H65" s="28">
        <f>IF($C65="yes",IF(H$4&lt;='Project Assumptions'!$E31,SUM($D49:H49)*0.5*WACC,0),0)</f>
        <v>0</v>
      </c>
      <c r="I65" s="28">
        <f>IF($C65="yes",IF(I$4&lt;='Project Assumptions'!$E31,SUM($D49:I49)*0.5*WACC,0),0)</f>
        <v>0</v>
      </c>
      <c r="J65" s="28">
        <f>IF($C65="yes",IF(J$4&lt;='Project Assumptions'!$E31,SUM($D49:J49)*0.5*WACC,0),0)</f>
        <v>2711445.697552436</v>
      </c>
      <c r="K65" s="28">
        <f>IF($C65="yes",IF(K$4&lt;='Project Assumptions'!$E31,SUM($D49:K49)*0.5*WACC,0),0)</f>
        <v>2711445.697552436</v>
      </c>
      <c r="L65" s="28">
        <f>IF($C65="yes",IF(L$4&lt;='Project Assumptions'!$E31,SUM($D49:L49)*0.5*WACC,0),0)</f>
        <v>0</v>
      </c>
      <c r="M65" s="28">
        <f>IF($C65="yes",IF(M$4&lt;='Project Assumptions'!$E31,SUM($D49:M49)*0.5*WACC,0),0)</f>
        <v>0</v>
      </c>
      <c r="N65" s="28">
        <f>IF($C65="yes",IF(N$4&lt;='Project Assumptions'!$E31,SUM($D49:N49)*0.5*WACC,0),0)</f>
        <v>0</v>
      </c>
      <c r="O65" s="28">
        <f>IF($C65="yes",IF(O$4&lt;='Project Assumptions'!$E31,SUM($D49:O49)*0.5*WACC,0),0)</f>
        <v>0</v>
      </c>
      <c r="P65" s="28">
        <f>IF($C65="yes",IF(P$4&lt;='Project Assumptions'!$E31,SUM($D49:P49)*0.5*WACC,0),0)</f>
        <v>0</v>
      </c>
      <c r="Q65" s="28">
        <f>IF($C65="yes",IF(Q$4&lt;='Project Assumptions'!$E31,SUM($D49:Q49)*0.5*WACC,0),0)</f>
        <v>0</v>
      </c>
      <c r="R65" s="28">
        <f>IF($C65="yes",IF(R$4&lt;='Project Assumptions'!$E31,SUM($D49:R49)*0.5*WACC,0),0)</f>
        <v>0</v>
      </c>
      <c r="S65" s="28">
        <f>IF($C65="yes",IF(S$4&lt;='Project Assumptions'!$E31,SUM($D49:S49)*0.5*WACC,0),0)</f>
        <v>0</v>
      </c>
      <c r="T65" s="28">
        <f>IF($C65="yes",IF(T$4&lt;='Project Assumptions'!$E31,SUM($D49:T49)*0.5*WACC,0),0)</f>
        <v>0</v>
      </c>
      <c r="U65" s="28">
        <f>IF($C65="yes",IF(U$4&lt;='Project Assumptions'!$E31,SUM($D49:U49)*0.5*WACC,0),0)</f>
        <v>0</v>
      </c>
      <c r="V65" s="28">
        <f>IF($C65="yes",IF(V$4&lt;='Project Assumptions'!$E31,SUM($D49:V49)*0.5*WACC,0),0)</f>
        <v>0</v>
      </c>
      <c r="W65" s="28">
        <f>IF($C65="yes",IF(W$4&lt;='Project Assumptions'!$E31,SUM($D49:W49)*0.5*WACC,0),0)</f>
        <v>0</v>
      </c>
      <c r="X65" s="28">
        <f>IF($C65="yes",IF(X$4&lt;='Project Assumptions'!$E31,SUM($D49:X49)*0.5*WACC,0),0)</f>
        <v>0</v>
      </c>
      <c r="Y65" s="28">
        <f>IF($C65="yes",IF(Y$4&lt;='Project Assumptions'!$E31,SUM($D49:Y49)*0.5*WACC,0),0)</f>
        <v>0</v>
      </c>
      <c r="Z65" s="28">
        <f>IF($C65="yes",IF(Z$4&lt;='Project Assumptions'!$E31,SUM($D49:Z49)*0.5*WACC,0),0)</f>
        <v>0</v>
      </c>
      <c r="AA65" s="28">
        <f>IF($C65="yes",IF(AA$4&lt;='Project Assumptions'!$E31,SUM($D49:AA49)*0.5*WACC,0),0)</f>
        <v>0</v>
      </c>
      <c r="AB65" s="28">
        <f>IF($C65="yes",IF(AB$4&lt;='Project Assumptions'!$E31,SUM($D49:AB49)*0.5*WACC,0),0)</f>
        <v>0</v>
      </c>
      <c r="AC65" s="28">
        <f>IF($C65="yes",IF(AC$4&lt;='Project Assumptions'!$E31,SUM($D49:AC49)*0.5*WACC,0),0)</f>
        <v>0</v>
      </c>
      <c r="AD65" s="28">
        <f>IF($C65="yes",IF(AD$4&lt;='Project Assumptions'!$E31,SUM($D49:AD49)*0.5*WACC,0),0)</f>
        <v>0</v>
      </c>
      <c r="AE65" s="28">
        <f>IF($C65="yes",IF(AE$4&lt;='Project Assumptions'!$E31,SUM($D49:AE49)*0.5*WACC,0),0)</f>
        <v>0</v>
      </c>
      <c r="AF65" s="28">
        <f>IF($C65="yes",IF(AF$4&lt;='Project Assumptions'!$E31,SUM($D49:AF49)*0.5*WACC,0),0)</f>
        <v>0</v>
      </c>
      <c r="AG65" s="28">
        <f>IF($C65="yes",IF(AG$4&lt;='Project Assumptions'!$E31,SUM($D49:AG49)*0.5*WACC,0),0)</f>
        <v>0</v>
      </c>
      <c r="AH65" s="28">
        <f>IF($C65="yes",IF(AH$4&lt;='Project Assumptions'!$E31,SUM($D49:AH49)*0.5*WACC,0),0)</f>
        <v>0</v>
      </c>
      <c r="AI65" s="28">
        <f>IF($C65="yes",IF(AI$4&lt;='Project Assumptions'!$E31,SUM($D49:AI49)*0.5*WACC,0),0)</f>
        <v>0</v>
      </c>
      <c r="AJ65" s="28">
        <f>IF($C65="yes",IF(AJ$4&lt;='Project Assumptions'!$E31,SUM($D49:AJ49)*0.5*WACC,0),0)</f>
        <v>0</v>
      </c>
      <c r="AK65" s="28">
        <f>IF($C65="yes",IF(AK$4&lt;='Project Assumptions'!$E31,SUM($D49:AK49)*0.5*WACC,0),0)</f>
        <v>0</v>
      </c>
      <c r="AL65" s="28">
        <f>IF($C65="yes",IF(AL$4&lt;='Project Assumptions'!$E31,SUM($D49:AL49)*0.5*WACC,0),0)</f>
        <v>0</v>
      </c>
      <c r="AM65" s="28">
        <f>IF($C65="yes",IF(AM$4&lt;='Project Assumptions'!$E31,SUM($D49:AM49)*0.5*WACC,0),0)</f>
        <v>0</v>
      </c>
      <c r="AN65" s="28">
        <f>IF($C65="yes",IF(AN$4&lt;='Project Assumptions'!$E31,SUM($D49:AN49)*0.5*WACC,0),0)</f>
        <v>0</v>
      </c>
      <c r="AO65" s="28">
        <f>IF($C65="yes",IF(AO$4&lt;='Project Assumptions'!$E31,SUM($D49:AO49)*0.5*WACC,0),0)</f>
        <v>0</v>
      </c>
      <c r="AP65" s="28">
        <f>IF($C65="yes",IF(AP$4&lt;='Project Assumptions'!$E31,SUM($D49:AP49)*0.5*WACC,0),0)</f>
        <v>0</v>
      </c>
      <c r="AQ65" s="28">
        <f>IF($C65="yes",IF(AQ$4&lt;='Project Assumptions'!$E31,SUM($D49:AQ49)*0.5*WACC,0),0)</f>
        <v>0</v>
      </c>
    </row>
    <row r="66" spans="1:43">
      <c r="B66" s="25" t="str">
        <f t="shared" si="23"/>
        <v>Capital Expenditure 8</v>
      </c>
      <c r="C66" s="329" t="str">
        <f>'Project Assumptions'!H32</f>
        <v>Yes</v>
      </c>
      <c r="D66" s="28">
        <f>IF(C66="yes",IF(D$4&lt;='Project Assumptions'!$E32,D50*0.5*WACC,0),0)</f>
        <v>0</v>
      </c>
      <c r="E66" s="28">
        <f>IF($C66="yes",IF(E$4&lt;='Project Assumptions'!$E32,SUM($D50:E50)*0.5*WACC,0),0)</f>
        <v>0</v>
      </c>
      <c r="F66" s="28">
        <f>IF($C66="yes",IF(F$4&lt;='Project Assumptions'!$E32,SUM($D50:F50)*0.5*WACC,0),0)</f>
        <v>0</v>
      </c>
      <c r="G66" s="28">
        <f>IF($C66="yes",IF(G$4&lt;='Project Assumptions'!$E32,SUM($D50:G50)*0.5*WACC,0),0)</f>
        <v>0</v>
      </c>
      <c r="H66" s="28">
        <f>IF($C66="yes",IF(H$4&lt;='Project Assumptions'!$E32,SUM($D50:H50)*0.5*WACC,0),0)</f>
        <v>0</v>
      </c>
      <c r="I66" s="28">
        <f>IF($C66="yes",IF(I$4&lt;='Project Assumptions'!$E32,SUM($D50:I50)*0.5*WACC,0),0)</f>
        <v>0</v>
      </c>
      <c r="J66" s="28">
        <f>IF($C66="yes",IF(J$4&lt;='Project Assumptions'!$E32,SUM($D50:J50)*0.5*WACC,0),0)</f>
        <v>0</v>
      </c>
      <c r="K66" s="28">
        <f>IF($C66="yes",IF(K$4&lt;='Project Assumptions'!$E32,SUM($D50:K50)*0.5*WACC,0),0)</f>
        <v>2342674.4768875004</v>
      </c>
      <c r="L66" s="28">
        <f>IF($C66="yes",IF(L$4&lt;='Project Assumptions'!$E32,SUM($D50:L50)*0.5*WACC,0),0)</f>
        <v>2342674.4768875004</v>
      </c>
      <c r="M66" s="28">
        <f>IF($C66="yes",IF(M$4&lt;='Project Assumptions'!$E32,SUM($D50:M50)*0.5*WACC,0),0)</f>
        <v>0</v>
      </c>
      <c r="N66" s="28">
        <f>IF($C66="yes",IF(N$4&lt;='Project Assumptions'!$E32,SUM($D50:N50)*0.5*WACC,0),0)</f>
        <v>0</v>
      </c>
      <c r="O66" s="28">
        <f>IF($C66="yes",IF(O$4&lt;='Project Assumptions'!$E32,SUM($D50:O50)*0.5*WACC,0),0)</f>
        <v>0</v>
      </c>
      <c r="P66" s="28">
        <f>IF($C66="yes",IF(P$4&lt;='Project Assumptions'!$E32,SUM($D50:P50)*0.5*WACC,0),0)</f>
        <v>0</v>
      </c>
      <c r="Q66" s="28">
        <f>IF($C66="yes",IF(Q$4&lt;='Project Assumptions'!$E32,SUM($D50:Q50)*0.5*WACC,0),0)</f>
        <v>0</v>
      </c>
      <c r="R66" s="28">
        <f>IF($C66="yes",IF(R$4&lt;='Project Assumptions'!$E32,SUM($D50:R50)*0.5*WACC,0),0)</f>
        <v>0</v>
      </c>
      <c r="S66" s="28">
        <f>IF($C66="yes",IF(S$4&lt;='Project Assumptions'!$E32,SUM($D50:S50)*0.5*WACC,0),0)</f>
        <v>0</v>
      </c>
      <c r="T66" s="28">
        <f>IF($C66="yes",IF(T$4&lt;='Project Assumptions'!$E32,SUM($D50:T50)*0.5*WACC,0),0)</f>
        <v>0</v>
      </c>
      <c r="U66" s="28">
        <f>IF($C66="yes",IF(U$4&lt;='Project Assumptions'!$E32,SUM($D50:U50)*0.5*WACC,0),0)</f>
        <v>0</v>
      </c>
      <c r="V66" s="28">
        <f>IF($C66="yes",IF(V$4&lt;='Project Assumptions'!$E32,SUM($D50:V50)*0.5*WACC,0),0)</f>
        <v>0</v>
      </c>
      <c r="W66" s="28">
        <f>IF($C66="yes",IF(W$4&lt;='Project Assumptions'!$E32,SUM($D50:W50)*0.5*WACC,0),0)</f>
        <v>0</v>
      </c>
      <c r="X66" s="28">
        <f>IF($C66="yes",IF(X$4&lt;='Project Assumptions'!$E32,SUM($D50:X50)*0.5*WACC,0),0)</f>
        <v>0</v>
      </c>
      <c r="Y66" s="28">
        <f>IF($C66="yes",IF(Y$4&lt;='Project Assumptions'!$E32,SUM($D50:Y50)*0.5*WACC,0),0)</f>
        <v>0</v>
      </c>
      <c r="Z66" s="28">
        <f>IF($C66="yes",IF(Z$4&lt;='Project Assumptions'!$E32,SUM($D50:Z50)*0.5*WACC,0),0)</f>
        <v>0</v>
      </c>
      <c r="AA66" s="28">
        <f>IF($C66="yes",IF(AA$4&lt;='Project Assumptions'!$E32,SUM($D50:AA50)*0.5*WACC,0),0)</f>
        <v>0</v>
      </c>
      <c r="AB66" s="28">
        <f>IF($C66="yes",IF(AB$4&lt;='Project Assumptions'!$E32,SUM($D50:AB50)*0.5*WACC,0),0)</f>
        <v>0</v>
      </c>
      <c r="AC66" s="28">
        <f>IF($C66="yes",IF(AC$4&lt;='Project Assumptions'!$E32,SUM($D50:AC50)*0.5*WACC,0),0)</f>
        <v>0</v>
      </c>
      <c r="AD66" s="28">
        <f>IF($C66="yes",IF(AD$4&lt;='Project Assumptions'!$E32,SUM($D50:AD50)*0.5*WACC,0),0)</f>
        <v>0</v>
      </c>
      <c r="AE66" s="28">
        <f>IF($C66="yes",IF(AE$4&lt;='Project Assumptions'!$E32,SUM($D50:AE50)*0.5*WACC,0),0)</f>
        <v>0</v>
      </c>
      <c r="AF66" s="28">
        <f>IF($C66="yes",IF(AF$4&lt;='Project Assumptions'!$E32,SUM($D50:AF50)*0.5*WACC,0),0)</f>
        <v>0</v>
      </c>
      <c r="AG66" s="28">
        <f>IF($C66="yes",IF(AG$4&lt;='Project Assumptions'!$E32,SUM($D50:AG50)*0.5*WACC,0),0)</f>
        <v>0</v>
      </c>
      <c r="AH66" s="28">
        <f>IF($C66="yes",IF(AH$4&lt;='Project Assumptions'!$E32,SUM($D50:AH50)*0.5*WACC,0),0)</f>
        <v>0</v>
      </c>
      <c r="AI66" s="28">
        <f>IF($C66="yes",IF(AI$4&lt;='Project Assumptions'!$E32,SUM($D50:AI50)*0.5*WACC,0),0)</f>
        <v>0</v>
      </c>
      <c r="AJ66" s="28">
        <f>IF($C66="yes",IF(AJ$4&lt;='Project Assumptions'!$E32,SUM($D50:AJ50)*0.5*WACC,0),0)</f>
        <v>0</v>
      </c>
      <c r="AK66" s="28">
        <f>IF($C66="yes",IF(AK$4&lt;='Project Assumptions'!$E32,SUM($D50:AK50)*0.5*WACC,0),0)</f>
        <v>0</v>
      </c>
      <c r="AL66" s="28">
        <f>IF($C66="yes",IF(AL$4&lt;='Project Assumptions'!$E32,SUM($D50:AL50)*0.5*WACC,0),0)</f>
        <v>0</v>
      </c>
      <c r="AM66" s="28">
        <f>IF($C66="yes",IF(AM$4&lt;='Project Assumptions'!$E32,SUM($D50:AM50)*0.5*WACC,0),0)</f>
        <v>0</v>
      </c>
      <c r="AN66" s="28">
        <f>IF($C66="yes",IF(AN$4&lt;='Project Assumptions'!$E32,SUM($D50:AN50)*0.5*WACC,0),0)</f>
        <v>0</v>
      </c>
      <c r="AO66" s="28">
        <f>IF($C66="yes",IF(AO$4&lt;='Project Assumptions'!$E32,SUM($D50:AO50)*0.5*WACC,0),0)</f>
        <v>0</v>
      </c>
      <c r="AP66" s="28">
        <f>IF($C66="yes",IF(AP$4&lt;='Project Assumptions'!$E32,SUM($D50:AP50)*0.5*WACC,0),0)</f>
        <v>0</v>
      </c>
      <c r="AQ66" s="28">
        <f>IF($C66="yes",IF(AQ$4&lt;='Project Assumptions'!$E32,SUM($D50:AQ50)*0.5*WACC,0),0)</f>
        <v>0</v>
      </c>
    </row>
    <row r="67" spans="1:43">
      <c r="B67" s="25" t="str">
        <f t="shared" si="23"/>
        <v>Capital Expenditure 9</v>
      </c>
      <c r="C67" s="329" t="str">
        <f>'Project Assumptions'!H33</f>
        <v>Yes</v>
      </c>
      <c r="D67" s="28">
        <f>IF(C67="yes",IF(D$4&lt;='Project Assumptions'!$E33,D51*0.5*WACC,0),0)</f>
        <v>0</v>
      </c>
      <c r="E67" s="28">
        <f>IF($C67="yes",IF(E$4&lt;='Project Assumptions'!$E33,SUM($D51:E51)*0.5*WACC,0),0)</f>
        <v>0</v>
      </c>
      <c r="F67" s="28">
        <f>IF($C67="yes",IF(F$4&lt;='Project Assumptions'!$E33,SUM($D51:F51)*0.5*WACC,0),0)</f>
        <v>0</v>
      </c>
      <c r="G67" s="28">
        <f>IF($C67="yes",IF(G$4&lt;='Project Assumptions'!$E33,SUM($D51:G51)*0.5*WACC,0),0)</f>
        <v>0</v>
      </c>
      <c r="H67" s="28">
        <f>IF($C67="yes",IF(H$4&lt;='Project Assumptions'!$E33,SUM($D51:H51)*0.5*WACC,0),0)</f>
        <v>0</v>
      </c>
      <c r="I67" s="28">
        <f>IF($C67="yes",IF(I$4&lt;='Project Assumptions'!$E33,SUM($D51:I51)*0.5*WACC,0),0)</f>
        <v>0</v>
      </c>
      <c r="J67" s="28">
        <f>IF($C67="yes",IF(J$4&lt;='Project Assumptions'!$E33,SUM($D51:J51)*0.5*WACC,0),0)</f>
        <v>0</v>
      </c>
      <c r="K67" s="28">
        <f>IF($C67="yes",IF(K$4&lt;='Project Assumptions'!$E33,SUM($D51:K51)*0.5*WACC,0),0)</f>
        <v>0</v>
      </c>
      <c r="L67" s="28">
        <f>IF($C67="yes",IF(L$4&lt;='Project Assumptions'!$E33,SUM($D51:L51)*0.5*WACC,0),0)</f>
        <v>22868.770976782278</v>
      </c>
      <c r="M67" s="28">
        <f>IF($C67="yes",IF(M$4&lt;='Project Assumptions'!$E33,SUM($D51:M51)*0.5*WACC,0),0)</f>
        <v>22868.770976782278</v>
      </c>
      <c r="N67" s="28">
        <f>IF($C67="yes",IF(N$4&lt;='Project Assumptions'!$E33,SUM($D51:N51)*0.5*WACC,0),0)</f>
        <v>0</v>
      </c>
      <c r="O67" s="28">
        <f>IF($C67="yes",IF(O$4&lt;='Project Assumptions'!$E33,SUM($D51:O51)*0.5*WACC,0),0)</f>
        <v>0</v>
      </c>
      <c r="P67" s="28">
        <f>IF($C67="yes",IF(P$4&lt;='Project Assumptions'!$E33,SUM($D51:P51)*0.5*WACC,0),0)</f>
        <v>0</v>
      </c>
      <c r="Q67" s="28">
        <f>IF($C67="yes",IF(Q$4&lt;='Project Assumptions'!$E33,SUM($D51:Q51)*0.5*WACC,0),0)</f>
        <v>0</v>
      </c>
      <c r="R67" s="28">
        <f>IF($C67="yes",IF(R$4&lt;='Project Assumptions'!$E33,SUM($D51:R51)*0.5*WACC,0),0)</f>
        <v>0</v>
      </c>
      <c r="S67" s="28">
        <f>IF($C67="yes",IF(S$4&lt;='Project Assumptions'!$E33,SUM($D51:S51)*0.5*WACC,0),0)</f>
        <v>0</v>
      </c>
      <c r="T67" s="28">
        <f>IF($C67="yes",IF(T$4&lt;='Project Assumptions'!$E33,SUM($D51:T51)*0.5*WACC,0),0)</f>
        <v>0</v>
      </c>
      <c r="U67" s="28">
        <f>IF($C67="yes",IF(U$4&lt;='Project Assumptions'!$E33,SUM($D51:U51)*0.5*WACC,0),0)</f>
        <v>0</v>
      </c>
      <c r="V67" s="28">
        <f>IF($C67="yes",IF(V$4&lt;='Project Assumptions'!$E33,SUM($D51:V51)*0.5*WACC,0),0)</f>
        <v>0</v>
      </c>
      <c r="W67" s="28">
        <f>IF($C67="yes",IF(W$4&lt;='Project Assumptions'!$E33,SUM($D51:W51)*0.5*WACC,0),0)</f>
        <v>0</v>
      </c>
      <c r="X67" s="28">
        <f>IF($C67="yes",IF(X$4&lt;='Project Assumptions'!$E33,SUM($D51:X51)*0.5*WACC,0),0)</f>
        <v>0</v>
      </c>
      <c r="Y67" s="28">
        <f>IF($C67="yes",IF(Y$4&lt;='Project Assumptions'!$E33,SUM($D51:Y51)*0.5*WACC,0),0)</f>
        <v>0</v>
      </c>
      <c r="Z67" s="28">
        <f>IF($C67="yes",IF(Z$4&lt;='Project Assumptions'!$E33,SUM($D51:Z51)*0.5*WACC,0),0)</f>
        <v>0</v>
      </c>
      <c r="AA67" s="28">
        <f>IF($C67="yes",IF(AA$4&lt;='Project Assumptions'!$E33,SUM($D51:AA51)*0.5*WACC,0),0)</f>
        <v>0</v>
      </c>
      <c r="AB67" s="28">
        <f>IF($C67="yes",IF(AB$4&lt;='Project Assumptions'!$E33,SUM($D51:AB51)*0.5*WACC,0),0)</f>
        <v>0</v>
      </c>
      <c r="AC67" s="28">
        <f>IF($C67="yes",IF(AC$4&lt;='Project Assumptions'!$E33,SUM($D51:AC51)*0.5*WACC,0),0)</f>
        <v>0</v>
      </c>
      <c r="AD67" s="28">
        <f>IF($C67="yes",IF(AD$4&lt;='Project Assumptions'!$E33,SUM($D51:AD51)*0.5*WACC,0),0)</f>
        <v>0</v>
      </c>
      <c r="AE67" s="28">
        <f>IF($C67="yes",IF(AE$4&lt;='Project Assumptions'!$E33,SUM($D51:AE51)*0.5*WACC,0),0)</f>
        <v>0</v>
      </c>
      <c r="AF67" s="28">
        <f>IF($C67="yes",IF(AF$4&lt;='Project Assumptions'!$E33,SUM($D51:AF51)*0.5*WACC,0),0)</f>
        <v>0</v>
      </c>
      <c r="AG67" s="28">
        <f>IF($C67="yes",IF(AG$4&lt;='Project Assumptions'!$E33,SUM($D51:AG51)*0.5*WACC,0),0)</f>
        <v>0</v>
      </c>
      <c r="AH67" s="28">
        <f>IF($C67="yes",IF(AH$4&lt;='Project Assumptions'!$E33,SUM($D51:AH51)*0.5*WACC,0),0)</f>
        <v>0</v>
      </c>
      <c r="AI67" s="28">
        <f>IF($C67="yes",IF(AI$4&lt;='Project Assumptions'!$E33,SUM($D51:AI51)*0.5*WACC,0),0)</f>
        <v>0</v>
      </c>
      <c r="AJ67" s="28">
        <f>IF($C67="yes",IF(AJ$4&lt;='Project Assumptions'!$E33,SUM($D51:AJ51)*0.5*WACC,0),0)</f>
        <v>0</v>
      </c>
      <c r="AK67" s="28">
        <f>IF($C67="yes",IF(AK$4&lt;='Project Assumptions'!$E33,SUM($D51:AK51)*0.5*WACC,0),0)</f>
        <v>0</v>
      </c>
      <c r="AL67" s="28">
        <f>IF($C67="yes",IF(AL$4&lt;='Project Assumptions'!$E33,SUM($D51:AL51)*0.5*WACC,0),0)</f>
        <v>0</v>
      </c>
      <c r="AM67" s="28">
        <f>IF($C67="yes",IF(AM$4&lt;='Project Assumptions'!$E33,SUM($D51:AM51)*0.5*WACC,0),0)</f>
        <v>0</v>
      </c>
      <c r="AN67" s="28">
        <f>IF($C67="yes",IF(AN$4&lt;='Project Assumptions'!$E33,SUM($D51:AN51)*0.5*WACC,0),0)</f>
        <v>0</v>
      </c>
      <c r="AO67" s="28">
        <f>IF($C67="yes",IF(AO$4&lt;='Project Assumptions'!$E33,SUM($D51:AO51)*0.5*WACC,0),0)</f>
        <v>0</v>
      </c>
      <c r="AP67" s="28">
        <f>IF($C67="yes",IF(AP$4&lt;='Project Assumptions'!$E33,SUM($D51:AP51)*0.5*WACC,0),0)</f>
        <v>0</v>
      </c>
      <c r="AQ67" s="28">
        <f>IF($C67="yes",IF(AQ$4&lt;='Project Assumptions'!$E33,SUM($D51:AQ51)*0.5*WACC,0),0)</f>
        <v>0</v>
      </c>
    </row>
    <row r="68" spans="1:43">
      <c r="B68" s="25" t="str">
        <f t="shared" si="23"/>
        <v>Capital Expenditure 10</v>
      </c>
      <c r="C68" s="329" t="str">
        <f>'Project Assumptions'!H34</f>
        <v>Yes</v>
      </c>
      <c r="D68" s="28">
        <f>IF(C68="yes",IF(D$4&lt;='Project Assumptions'!$E34,D52*0.5*WACC,0),0)</f>
        <v>0</v>
      </c>
      <c r="E68" s="28">
        <f>IF($C68="yes",IF(E$4&lt;='Project Assumptions'!$E34,SUM($D52:E52)*0.5*WACC,0),0)</f>
        <v>0</v>
      </c>
      <c r="F68" s="28">
        <f>IF($C68="yes",IF(F$4&lt;='Project Assumptions'!$E34,SUM($D52:F52)*0.5*WACC,0),0)</f>
        <v>0</v>
      </c>
      <c r="G68" s="28">
        <f>IF($C68="yes",IF(G$4&lt;='Project Assumptions'!$E34,SUM($D52:G52)*0.5*WACC,0),0)</f>
        <v>0</v>
      </c>
      <c r="H68" s="28">
        <f>IF($C68="yes",IF(H$4&lt;='Project Assumptions'!$E34,SUM($D52:H52)*0.5*WACC,0),0)</f>
        <v>0</v>
      </c>
      <c r="I68" s="28">
        <f>IF($C68="yes",IF(I$4&lt;='Project Assumptions'!$E34,SUM($D52:I52)*0.5*WACC,0),0)</f>
        <v>0</v>
      </c>
      <c r="J68" s="28">
        <f>IF($C68="yes",IF(J$4&lt;='Project Assumptions'!$E34,SUM($D52:J52)*0.5*WACC,0),0)</f>
        <v>0</v>
      </c>
      <c r="K68" s="28">
        <f>IF($C68="yes",IF(K$4&lt;='Project Assumptions'!$E34,SUM($D52:K52)*0.5*WACC,0),0)</f>
        <v>0</v>
      </c>
      <c r="L68" s="28">
        <f>IF($C68="yes",IF(L$4&lt;='Project Assumptions'!$E34,SUM($D52:L52)*0.5*WACC,0),0)</f>
        <v>0</v>
      </c>
      <c r="M68" s="28">
        <f>IF($C68="yes",IF(M$4&lt;='Project Assumptions'!$E34,SUM($D52:M52)*0.5*WACC,0),0)</f>
        <v>19521.207335908457</v>
      </c>
      <c r="N68" s="28">
        <f>IF($C68="yes",IF(N$4&lt;='Project Assumptions'!$E34,SUM($D52:N52)*0.5*WACC,0),0)</f>
        <v>19521.207335908457</v>
      </c>
      <c r="O68" s="28">
        <f>IF($C68="yes",IF(O$4&lt;='Project Assumptions'!$E34,SUM($D52:O52)*0.5*WACC,0),0)</f>
        <v>0</v>
      </c>
      <c r="P68" s="28">
        <f>IF($C68="yes",IF(P$4&lt;='Project Assumptions'!$E34,SUM($D52:P52)*0.5*WACC,0),0)</f>
        <v>0</v>
      </c>
      <c r="Q68" s="28">
        <f>IF($C68="yes",IF(Q$4&lt;='Project Assumptions'!$E34,SUM($D52:Q52)*0.5*WACC,0),0)</f>
        <v>0</v>
      </c>
      <c r="R68" s="28">
        <f>IF($C68="yes",IF(R$4&lt;='Project Assumptions'!$E34,SUM($D52:R52)*0.5*WACC,0),0)</f>
        <v>0</v>
      </c>
      <c r="S68" s="28">
        <f>IF($C68="yes",IF(S$4&lt;='Project Assumptions'!$E34,SUM($D52:S52)*0.5*WACC,0),0)</f>
        <v>0</v>
      </c>
      <c r="T68" s="28">
        <f>IF($C68="yes",IF(T$4&lt;='Project Assumptions'!$E34,SUM($D52:T52)*0.5*WACC,0),0)</f>
        <v>0</v>
      </c>
      <c r="U68" s="28">
        <f>IF($C68="yes",IF(U$4&lt;='Project Assumptions'!$E34,SUM($D52:U52)*0.5*WACC,0),0)</f>
        <v>0</v>
      </c>
      <c r="V68" s="28">
        <f>IF($C68="yes",IF(V$4&lt;='Project Assumptions'!$E34,SUM($D52:V52)*0.5*WACC,0),0)</f>
        <v>0</v>
      </c>
      <c r="W68" s="28">
        <f>IF($C68="yes",IF(W$4&lt;='Project Assumptions'!$E34,SUM($D52:W52)*0.5*WACC,0),0)</f>
        <v>0</v>
      </c>
      <c r="X68" s="28">
        <f>IF($C68="yes",IF(X$4&lt;='Project Assumptions'!$E34,SUM($D52:X52)*0.5*WACC,0),0)</f>
        <v>0</v>
      </c>
      <c r="Y68" s="28">
        <f>IF($C68="yes",IF(Y$4&lt;='Project Assumptions'!$E34,SUM($D52:Y52)*0.5*WACC,0),0)</f>
        <v>0</v>
      </c>
      <c r="Z68" s="28">
        <f>IF($C68="yes",IF(Z$4&lt;='Project Assumptions'!$E34,SUM($D52:Z52)*0.5*WACC,0),0)</f>
        <v>0</v>
      </c>
      <c r="AA68" s="28">
        <f>IF($C68="yes",IF(AA$4&lt;='Project Assumptions'!$E34,SUM($D52:AA52)*0.5*WACC,0),0)</f>
        <v>0</v>
      </c>
      <c r="AB68" s="28">
        <f>IF($C68="yes",IF(AB$4&lt;='Project Assumptions'!$E34,SUM($D52:AB52)*0.5*WACC,0),0)</f>
        <v>0</v>
      </c>
      <c r="AC68" s="28">
        <f>IF($C68="yes",IF(AC$4&lt;='Project Assumptions'!$E34,SUM($D52:AC52)*0.5*WACC,0),0)</f>
        <v>0</v>
      </c>
      <c r="AD68" s="28">
        <f>IF($C68="yes",IF(AD$4&lt;='Project Assumptions'!$E34,SUM($D52:AD52)*0.5*WACC,0),0)</f>
        <v>0</v>
      </c>
      <c r="AE68" s="28">
        <f>IF($C68="yes",IF(AE$4&lt;='Project Assumptions'!$E34,SUM($D52:AE52)*0.5*WACC,0),0)</f>
        <v>0</v>
      </c>
      <c r="AF68" s="28">
        <f>IF($C68="yes",IF(AF$4&lt;='Project Assumptions'!$E34,SUM($D52:AF52)*0.5*WACC,0),0)</f>
        <v>0</v>
      </c>
      <c r="AG68" s="28">
        <f>IF($C68="yes",IF(AG$4&lt;='Project Assumptions'!$E34,SUM($D52:AG52)*0.5*WACC,0),0)</f>
        <v>0</v>
      </c>
      <c r="AH68" s="28">
        <f>IF($C68="yes",IF(AH$4&lt;='Project Assumptions'!$E34,SUM($D52:AH52)*0.5*WACC,0),0)</f>
        <v>0</v>
      </c>
      <c r="AI68" s="28">
        <f>IF($C68="yes",IF(AI$4&lt;='Project Assumptions'!$E34,SUM($D52:AI52)*0.5*WACC,0),0)</f>
        <v>0</v>
      </c>
      <c r="AJ68" s="28">
        <f>IF($C68="yes",IF(AJ$4&lt;='Project Assumptions'!$E34,SUM($D52:AJ52)*0.5*WACC,0),0)</f>
        <v>0</v>
      </c>
      <c r="AK68" s="28">
        <f>IF($C68="yes",IF(AK$4&lt;='Project Assumptions'!$E34,SUM($D52:AK52)*0.5*WACC,0),0)</f>
        <v>0</v>
      </c>
      <c r="AL68" s="28">
        <f>IF($C68="yes",IF(AL$4&lt;='Project Assumptions'!$E34,SUM($D52:AL52)*0.5*WACC,0),0)</f>
        <v>0</v>
      </c>
      <c r="AM68" s="28">
        <f>IF($C68="yes",IF(AM$4&lt;='Project Assumptions'!$E34,SUM($D52:AM52)*0.5*WACC,0),0)</f>
        <v>0</v>
      </c>
      <c r="AN68" s="28">
        <f>IF($C68="yes",IF(AN$4&lt;='Project Assumptions'!$E34,SUM($D52:AN52)*0.5*WACC,0),0)</f>
        <v>0</v>
      </c>
      <c r="AO68" s="28">
        <f>IF($C68="yes",IF(AO$4&lt;='Project Assumptions'!$E34,SUM($D52:AO52)*0.5*WACC,0),0)</f>
        <v>0</v>
      </c>
      <c r="AP68" s="28">
        <f>IF($C68="yes",IF(AP$4&lt;='Project Assumptions'!$E34,SUM($D52:AP52)*0.5*WACC,0),0)</f>
        <v>0</v>
      </c>
      <c r="AQ68" s="28">
        <f>IF($C68="yes",IF(AQ$4&lt;='Project Assumptions'!$E34,SUM($D52:AQ52)*0.5*WACC,0),0)</f>
        <v>0</v>
      </c>
    </row>
    <row r="69" spans="1:43">
      <c r="B69" s="25" t="str">
        <f t="shared" ref="B69:B70" si="24">B53</f>
        <v>Capital Expenditure 11</v>
      </c>
      <c r="C69" s="329" t="str">
        <f>'Project Assumptions'!H35</f>
        <v>Yes</v>
      </c>
      <c r="D69" s="28">
        <f>IF(C69="yes",IF(D$4&lt;='Project Assumptions'!$E35,D53*0.5*WACC,0),0)</f>
        <v>0</v>
      </c>
      <c r="E69" s="28">
        <f>IF($C69="yes",IF(E$4&lt;='Project Assumptions'!$E35,SUM($D53:E53)*0.5*WACC,0),0)</f>
        <v>0</v>
      </c>
      <c r="F69" s="28">
        <f>IF($C69="yes",IF(F$4&lt;='Project Assumptions'!$E35,SUM($D53:F53)*0.5*WACC,0),0)</f>
        <v>0</v>
      </c>
      <c r="G69" s="28">
        <f>IF($C69="yes",IF(G$4&lt;='Project Assumptions'!$E35,SUM($D53:G53)*0.5*WACC,0),0)</f>
        <v>0</v>
      </c>
      <c r="H69" s="28">
        <f>IF($C69="yes",IF(H$4&lt;='Project Assumptions'!$E35,SUM($D53:H53)*0.5*WACC,0),0)</f>
        <v>0</v>
      </c>
      <c r="I69" s="28">
        <f>IF($C69="yes",IF(I$4&lt;='Project Assumptions'!$E35,SUM($D53:I53)*0.5*WACC,0),0)</f>
        <v>0</v>
      </c>
      <c r="J69" s="28">
        <f>IF($C69="yes",IF(J$4&lt;='Project Assumptions'!$E35,SUM($D53:J53)*0.5*WACC,0),0)</f>
        <v>0</v>
      </c>
      <c r="K69" s="28">
        <f>IF($C69="yes",IF(K$4&lt;='Project Assumptions'!$E35,SUM($D53:K53)*0.5*WACC,0),0)</f>
        <v>0</v>
      </c>
      <c r="L69" s="28">
        <f>IF($C69="yes",IF(L$4&lt;='Project Assumptions'!$E35,SUM($D53:L53)*0.5*WACC,0),0)</f>
        <v>0</v>
      </c>
      <c r="M69" s="28">
        <f>IF($C69="yes",IF(M$4&lt;='Project Assumptions'!$E35,SUM($D53:M53)*0.5*WACC,0),0)</f>
        <v>0</v>
      </c>
      <c r="N69" s="28">
        <f>IF($C69="yes",IF(N$4&lt;='Project Assumptions'!$E35,SUM($D53:N53)*0.5*WACC,0),0)</f>
        <v>19729.149412960021</v>
      </c>
      <c r="O69" s="28">
        <f>IF($C69="yes",IF(O$4&lt;='Project Assumptions'!$E35,SUM($D53:O53)*0.5*WACC,0),0)</f>
        <v>19729.149412960021</v>
      </c>
      <c r="P69" s="28">
        <f>IF($C69="yes",IF(P$4&lt;='Project Assumptions'!$E35,SUM($D53:P53)*0.5*WACC,0),0)</f>
        <v>0</v>
      </c>
      <c r="Q69" s="28">
        <f>IF($C69="yes",IF(Q$4&lt;='Project Assumptions'!$E35,SUM($D53:Q53)*0.5*WACC,0),0)</f>
        <v>0</v>
      </c>
      <c r="R69" s="28">
        <f>IF($C69="yes",IF(R$4&lt;='Project Assumptions'!$E35,SUM($D53:R53)*0.5*WACC,0),0)</f>
        <v>0</v>
      </c>
      <c r="S69" s="28">
        <f>IF($C69="yes",IF(S$4&lt;='Project Assumptions'!$E35,SUM($D53:S53)*0.5*WACC,0),0)</f>
        <v>0</v>
      </c>
      <c r="T69" s="28">
        <f>IF($C69="yes",IF(T$4&lt;='Project Assumptions'!$E35,SUM($D53:T53)*0.5*WACC,0),0)</f>
        <v>0</v>
      </c>
      <c r="U69" s="28">
        <f>IF($C69="yes",IF(U$4&lt;='Project Assumptions'!$E35,SUM($D53:U53)*0.5*WACC,0),0)</f>
        <v>0</v>
      </c>
      <c r="V69" s="28">
        <f>IF($C69="yes",IF(V$4&lt;='Project Assumptions'!$E35,SUM($D53:V53)*0.5*WACC,0),0)</f>
        <v>0</v>
      </c>
      <c r="W69" s="28">
        <f>IF($C69="yes",IF(W$4&lt;='Project Assumptions'!$E35,SUM($D53:W53)*0.5*WACC,0),0)</f>
        <v>0</v>
      </c>
      <c r="X69" s="28">
        <f>IF($C69="yes",IF(X$4&lt;='Project Assumptions'!$E35,SUM($D53:X53)*0.5*WACC,0),0)</f>
        <v>0</v>
      </c>
      <c r="Y69" s="28">
        <f>IF($C69="yes",IF(Y$4&lt;='Project Assumptions'!$E35,SUM($D53:Y53)*0.5*WACC,0),0)</f>
        <v>0</v>
      </c>
      <c r="Z69" s="28">
        <f>IF($C69="yes",IF(Z$4&lt;='Project Assumptions'!$E35,SUM($D53:Z53)*0.5*WACC,0),0)</f>
        <v>0</v>
      </c>
      <c r="AA69" s="28">
        <f>IF($C69="yes",IF(AA$4&lt;='Project Assumptions'!$E35,SUM($D53:AA53)*0.5*WACC,0),0)</f>
        <v>0</v>
      </c>
      <c r="AB69" s="28">
        <f>IF($C69="yes",IF(AB$4&lt;='Project Assumptions'!$E35,SUM($D53:AB53)*0.5*WACC,0),0)</f>
        <v>0</v>
      </c>
      <c r="AC69" s="28">
        <f>IF($C69="yes",IF(AC$4&lt;='Project Assumptions'!$E35,SUM($D53:AC53)*0.5*WACC,0),0)</f>
        <v>0</v>
      </c>
      <c r="AD69" s="28">
        <f>IF($C69="yes",IF(AD$4&lt;='Project Assumptions'!$E35,SUM($D53:AD53)*0.5*WACC,0),0)</f>
        <v>0</v>
      </c>
      <c r="AE69" s="28">
        <f>IF($C69="yes",IF(AE$4&lt;='Project Assumptions'!$E35,SUM($D53:AE53)*0.5*WACC,0),0)</f>
        <v>0</v>
      </c>
      <c r="AF69" s="28">
        <f>IF($C69="yes",IF(AF$4&lt;='Project Assumptions'!$E35,SUM($D53:AF53)*0.5*WACC,0),0)</f>
        <v>0</v>
      </c>
      <c r="AG69" s="28">
        <f>IF($C69="yes",IF(AG$4&lt;='Project Assumptions'!$E35,SUM($D53:AG53)*0.5*WACC,0),0)</f>
        <v>0</v>
      </c>
      <c r="AH69" s="28">
        <f>IF($C69="yes",IF(AH$4&lt;='Project Assumptions'!$E35,SUM($D53:AH53)*0.5*WACC,0),0)</f>
        <v>0</v>
      </c>
      <c r="AI69" s="28">
        <f>IF($C69="yes",IF(AI$4&lt;='Project Assumptions'!$E35,SUM($D53:AI53)*0.5*WACC,0),0)</f>
        <v>0</v>
      </c>
      <c r="AJ69" s="28">
        <f>IF($C69="yes",IF(AJ$4&lt;='Project Assumptions'!$E35,SUM($D53:AJ53)*0.5*WACC,0),0)</f>
        <v>0</v>
      </c>
      <c r="AK69" s="28">
        <f>IF($C69="yes",IF(AK$4&lt;='Project Assumptions'!$E35,SUM($D53:AK53)*0.5*WACC,0),0)</f>
        <v>0</v>
      </c>
      <c r="AL69" s="28">
        <f>IF($C69="yes",IF(AL$4&lt;='Project Assumptions'!$E35,SUM($D53:AL53)*0.5*WACC,0),0)</f>
        <v>0</v>
      </c>
      <c r="AM69" s="28">
        <f>IF($C69="yes",IF(AM$4&lt;='Project Assumptions'!$E35,SUM($D53:AM53)*0.5*WACC,0),0)</f>
        <v>0</v>
      </c>
      <c r="AN69" s="28">
        <f>IF($C69="yes",IF(AN$4&lt;='Project Assumptions'!$E35,SUM($D53:AN53)*0.5*WACC,0),0)</f>
        <v>0</v>
      </c>
      <c r="AO69" s="28">
        <f>IF($C69="yes",IF(AO$4&lt;='Project Assumptions'!$E35,SUM($D53:AO53)*0.5*WACC,0),0)</f>
        <v>0</v>
      </c>
      <c r="AP69" s="28">
        <f>IF($C69="yes",IF(AP$4&lt;='Project Assumptions'!$E35,SUM($D53:AP53)*0.5*WACC,0),0)</f>
        <v>0</v>
      </c>
      <c r="AQ69" s="28">
        <f>IF($C69="yes",IF(AQ$4&lt;='Project Assumptions'!$E35,SUM($D53:AQ53)*0.5*WACC,0),0)</f>
        <v>0</v>
      </c>
    </row>
    <row r="70" spans="1:43">
      <c r="B70" s="25" t="str">
        <f t="shared" si="24"/>
        <v>Capital Expenditure 12</v>
      </c>
      <c r="C70" s="329" t="str">
        <f>'Project Assumptions'!H36</f>
        <v>Yes</v>
      </c>
      <c r="D70" s="28">
        <f>IF(C70="yes",IF(D$4&lt;='Project Assumptions'!$E36,D54*0.5*WACC,0),0)</f>
        <v>0</v>
      </c>
      <c r="E70" s="28">
        <f>IF($C70="yes",IF(E$4&lt;='Project Assumptions'!$E36,SUM($D54:E54)*0.5*WACC,0),0)</f>
        <v>0</v>
      </c>
      <c r="F70" s="28">
        <f>IF($C70="yes",IF(F$4&lt;='Project Assumptions'!$E36,SUM($D54:F54)*0.5*WACC,0),0)</f>
        <v>0</v>
      </c>
      <c r="G70" s="28">
        <f>IF($C70="yes",IF(G$4&lt;='Project Assumptions'!$E36,SUM($D54:G54)*0.5*WACC,0),0)</f>
        <v>0</v>
      </c>
      <c r="H70" s="28">
        <f>IF($C70="yes",IF(H$4&lt;='Project Assumptions'!$E36,SUM($D54:H54)*0.5*WACC,0),0)</f>
        <v>0</v>
      </c>
      <c r="I70" s="28">
        <f>IF($C70="yes",IF(I$4&lt;='Project Assumptions'!$E36,SUM($D54:I54)*0.5*WACC,0),0)</f>
        <v>0</v>
      </c>
      <c r="J70" s="28">
        <f>IF($C70="yes",IF(J$4&lt;='Project Assumptions'!$E36,SUM($D54:J54)*0.5*WACC,0),0)</f>
        <v>0</v>
      </c>
      <c r="K70" s="28">
        <f>IF($C70="yes",IF(K$4&lt;='Project Assumptions'!$E36,SUM($D54:K54)*0.5*WACC,0),0)</f>
        <v>0</v>
      </c>
      <c r="L70" s="28">
        <f>IF($C70="yes",IF(L$4&lt;='Project Assumptions'!$E36,SUM($D54:L54)*0.5*WACC,0),0)</f>
        <v>0</v>
      </c>
      <c r="M70" s="28">
        <f>IF($C70="yes",IF(M$4&lt;='Project Assumptions'!$E36,SUM($D54:M54)*0.5*WACC,0),0)</f>
        <v>0</v>
      </c>
      <c r="N70" s="28">
        <f>IF($C70="yes",IF(N$4&lt;='Project Assumptions'!$E36,SUM($D54:N54)*0.5*WACC,0),0)</f>
        <v>0</v>
      </c>
      <c r="O70" s="28">
        <f>IF($C70="yes",IF(O$4&lt;='Project Assumptions'!$E36,SUM($D54:O54)*0.5*WACC,0),0)</f>
        <v>20321.023895348819</v>
      </c>
      <c r="P70" s="28">
        <f>IF($C70="yes",IF(P$4&lt;='Project Assumptions'!$E36,SUM($D54:P54)*0.5*WACC,0),0)</f>
        <v>20321.023895348819</v>
      </c>
      <c r="Q70" s="28">
        <f>IF($C70="yes",IF(Q$4&lt;='Project Assumptions'!$E36,SUM($D54:Q54)*0.5*WACC,0),0)</f>
        <v>0</v>
      </c>
      <c r="R70" s="28">
        <f>IF($C70="yes",IF(R$4&lt;='Project Assumptions'!$E36,SUM($D54:R54)*0.5*WACC,0),0)</f>
        <v>0</v>
      </c>
      <c r="S70" s="28">
        <f>IF($C70="yes",IF(S$4&lt;='Project Assumptions'!$E36,SUM($D54:S54)*0.5*WACC,0),0)</f>
        <v>0</v>
      </c>
      <c r="T70" s="28">
        <f>IF($C70="yes",IF(T$4&lt;='Project Assumptions'!$E36,SUM($D54:T54)*0.5*WACC,0),0)</f>
        <v>0</v>
      </c>
      <c r="U70" s="28">
        <f>IF($C70="yes",IF(U$4&lt;='Project Assumptions'!$E36,SUM($D54:U54)*0.5*WACC,0),0)</f>
        <v>0</v>
      </c>
      <c r="V70" s="28">
        <f>IF($C70="yes",IF(V$4&lt;='Project Assumptions'!$E36,SUM($D54:V54)*0.5*WACC,0),0)</f>
        <v>0</v>
      </c>
      <c r="W70" s="28">
        <f>IF($C70="yes",IF(W$4&lt;='Project Assumptions'!$E36,SUM($D54:W54)*0.5*WACC,0),0)</f>
        <v>0</v>
      </c>
      <c r="X70" s="28">
        <f>IF($C70="yes",IF(X$4&lt;='Project Assumptions'!$E36,SUM($D54:X54)*0.5*WACC,0),0)</f>
        <v>0</v>
      </c>
      <c r="Y70" s="28">
        <f>IF($C70="yes",IF(Y$4&lt;='Project Assumptions'!$E36,SUM($D54:Y54)*0.5*WACC,0),0)</f>
        <v>0</v>
      </c>
      <c r="Z70" s="28">
        <f>IF($C70="yes",IF(Z$4&lt;='Project Assumptions'!$E36,SUM($D54:Z54)*0.5*WACC,0),0)</f>
        <v>0</v>
      </c>
      <c r="AA70" s="28">
        <f>IF($C70="yes",IF(AA$4&lt;='Project Assumptions'!$E36,SUM($D54:AA54)*0.5*WACC,0),0)</f>
        <v>0</v>
      </c>
      <c r="AB70" s="28">
        <f>IF($C70="yes",IF(AB$4&lt;='Project Assumptions'!$E36,SUM($D54:AB54)*0.5*WACC,0),0)</f>
        <v>0</v>
      </c>
      <c r="AC70" s="28">
        <f>IF($C70="yes",IF(AC$4&lt;='Project Assumptions'!$E36,SUM($D54:AC54)*0.5*WACC,0),0)</f>
        <v>0</v>
      </c>
      <c r="AD70" s="28">
        <f>IF($C70="yes",IF(AD$4&lt;='Project Assumptions'!$E36,SUM($D54:AD54)*0.5*WACC,0),0)</f>
        <v>0</v>
      </c>
      <c r="AE70" s="28">
        <f>IF($C70="yes",IF(AE$4&lt;='Project Assumptions'!$E36,SUM($D54:AE54)*0.5*WACC,0),0)</f>
        <v>0</v>
      </c>
      <c r="AF70" s="28">
        <f>IF($C70="yes",IF(AF$4&lt;='Project Assumptions'!$E36,SUM($D54:AF54)*0.5*WACC,0),0)</f>
        <v>0</v>
      </c>
      <c r="AG70" s="28">
        <f>IF($C70="yes",IF(AG$4&lt;='Project Assumptions'!$E36,SUM($D54:AG54)*0.5*WACC,0),0)</f>
        <v>0</v>
      </c>
      <c r="AH70" s="28">
        <f>IF($C70="yes",IF(AH$4&lt;='Project Assumptions'!$E36,SUM($D54:AH54)*0.5*WACC,0),0)</f>
        <v>0</v>
      </c>
      <c r="AI70" s="28">
        <f>IF($C70="yes",IF(AI$4&lt;='Project Assumptions'!$E36,SUM($D54:AI54)*0.5*WACC,0),0)</f>
        <v>0</v>
      </c>
      <c r="AJ70" s="28">
        <f>IF($C70="yes",IF(AJ$4&lt;='Project Assumptions'!$E36,SUM($D54:AJ54)*0.5*WACC,0),0)</f>
        <v>0</v>
      </c>
      <c r="AK70" s="28">
        <f>IF($C70="yes",IF(AK$4&lt;='Project Assumptions'!$E36,SUM($D54:AK54)*0.5*WACC,0),0)</f>
        <v>0</v>
      </c>
      <c r="AL70" s="28">
        <f>IF($C70="yes",IF(AL$4&lt;='Project Assumptions'!$E36,SUM($D54:AL54)*0.5*WACC,0),0)</f>
        <v>0</v>
      </c>
      <c r="AM70" s="28">
        <f>IF($C70="yes",IF(AM$4&lt;='Project Assumptions'!$E36,SUM($D54:AM54)*0.5*WACC,0),0)</f>
        <v>0</v>
      </c>
      <c r="AN70" s="28">
        <f>IF($C70="yes",IF(AN$4&lt;='Project Assumptions'!$E36,SUM($D54:AN54)*0.5*WACC,0),0)</f>
        <v>0</v>
      </c>
      <c r="AO70" s="28">
        <f>IF($C70="yes",IF(AO$4&lt;='Project Assumptions'!$E36,SUM($D54:AO54)*0.5*WACC,0),0)</f>
        <v>0</v>
      </c>
      <c r="AP70" s="28">
        <f>IF($C70="yes",IF(AP$4&lt;='Project Assumptions'!$E36,SUM($D54:AP54)*0.5*WACC,0),0)</f>
        <v>0</v>
      </c>
      <c r="AQ70" s="28">
        <f>IF($C70="yes",IF(AQ$4&lt;='Project Assumptions'!$E36,SUM($D54:AQ54)*0.5*WACC,0),0)</f>
        <v>0</v>
      </c>
    </row>
    <row r="71" spans="1:43" s="23" customFormat="1">
      <c r="A71" s="50"/>
      <c r="B71" s="27" t="s">
        <v>166</v>
      </c>
      <c r="C71" s="328"/>
      <c r="D71" s="79">
        <f>SUM(D59:D70)</f>
        <v>768990.21816739161</v>
      </c>
      <c r="E71" s="79">
        <f>SUM(E59:E70)</f>
        <v>2025481.5144212407</v>
      </c>
      <c r="F71" s="79">
        <f t="shared" ref="F71:AQ71" si="25">SUM(F59:F70)</f>
        <v>4236447.1576836267</v>
      </c>
      <c r="G71" s="79">
        <f t="shared" si="25"/>
        <v>5449288.1215850608</v>
      </c>
      <c r="H71" s="79">
        <f t="shared" si="25"/>
        <v>5025129.8825065289</v>
      </c>
      <c r="I71" s="79">
        <f t="shared" si="25"/>
        <v>5188269.1733730286</v>
      </c>
      <c r="J71" s="79">
        <f t="shared" si="25"/>
        <v>5343917.2485742187</v>
      </c>
      <c r="K71" s="79">
        <f t="shared" si="25"/>
        <v>5054120.1744399369</v>
      </c>
      <c r="L71" s="79">
        <f t="shared" si="25"/>
        <v>2365543.2478642827</v>
      </c>
      <c r="M71" s="79">
        <f t="shared" si="25"/>
        <v>42389.978312690735</v>
      </c>
      <c r="N71" s="79">
        <f t="shared" si="25"/>
        <v>39250.356748868478</v>
      </c>
      <c r="O71" s="79">
        <f t="shared" si="25"/>
        <v>40050.17330830884</v>
      </c>
      <c r="P71" s="79">
        <f t="shared" si="25"/>
        <v>20321.023895348819</v>
      </c>
      <c r="Q71" s="79">
        <f t="shared" si="25"/>
        <v>0</v>
      </c>
      <c r="R71" s="79">
        <f t="shared" si="25"/>
        <v>0</v>
      </c>
      <c r="S71" s="79">
        <f t="shared" si="25"/>
        <v>0</v>
      </c>
      <c r="T71" s="79">
        <f t="shared" si="25"/>
        <v>0</v>
      </c>
      <c r="U71" s="79">
        <f t="shared" si="25"/>
        <v>0</v>
      </c>
      <c r="V71" s="79">
        <f t="shared" si="25"/>
        <v>0</v>
      </c>
      <c r="W71" s="79">
        <f t="shared" si="25"/>
        <v>0</v>
      </c>
      <c r="X71" s="79">
        <f t="shared" si="25"/>
        <v>0</v>
      </c>
      <c r="Y71" s="79">
        <f t="shared" si="25"/>
        <v>0</v>
      </c>
      <c r="Z71" s="79">
        <f t="shared" si="25"/>
        <v>0</v>
      </c>
      <c r="AA71" s="79">
        <f t="shared" si="25"/>
        <v>0</v>
      </c>
      <c r="AB71" s="79">
        <f t="shared" si="25"/>
        <v>0</v>
      </c>
      <c r="AC71" s="79">
        <f t="shared" si="25"/>
        <v>0</v>
      </c>
      <c r="AD71" s="79">
        <f t="shared" si="25"/>
        <v>0</v>
      </c>
      <c r="AE71" s="79">
        <f t="shared" si="25"/>
        <v>0</v>
      </c>
      <c r="AF71" s="79">
        <f t="shared" si="25"/>
        <v>0</v>
      </c>
      <c r="AG71" s="79">
        <f t="shared" si="25"/>
        <v>0</v>
      </c>
      <c r="AH71" s="79">
        <f t="shared" si="25"/>
        <v>0</v>
      </c>
      <c r="AI71" s="79">
        <f t="shared" si="25"/>
        <v>0</v>
      </c>
      <c r="AJ71" s="79">
        <f t="shared" si="25"/>
        <v>0</v>
      </c>
      <c r="AK71" s="79">
        <f t="shared" si="25"/>
        <v>0</v>
      </c>
      <c r="AL71" s="79">
        <f t="shared" si="25"/>
        <v>0</v>
      </c>
      <c r="AM71" s="79">
        <f t="shared" si="25"/>
        <v>0</v>
      </c>
      <c r="AN71" s="79">
        <f t="shared" si="25"/>
        <v>0</v>
      </c>
      <c r="AO71" s="79">
        <f t="shared" si="25"/>
        <v>0</v>
      </c>
      <c r="AP71" s="79">
        <f t="shared" si="25"/>
        <v>0</v>
      </c>
      <c r="AQ71" s="79">
        <f t="shared" si="25"/>
        <v>0</v>
      </c>
    </row>
    <row r="73" spans="1:43">
      <c r="B73" s="351"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3:BP15"/>
  <sheetViews>
    <sheetView showGridLines="0" zoomScale="90" zoomScaleNormal="90" workbookViewId="0">
      <selection activeCell="C14" sqref="C14"/>
    </sheetView>
  </sheetViews>
  <sheetFormatPr defaultColWidth="11.453125" defaultRowHeight="12"/>
  <cols>
    <col min="1" max="1" width="3.26953125" style="2" customWidth="1"/>
    <col min="2" max="2" width="14.1796875" style="243" customWidth="1"/>
    <col min="3" max="3" width="6.7265625" style="241" bestFit="1" customWidth="1"/>
    <col min="4" max="4" width="7.54296875" style="2" customWidth="1"/>
    <col min="5" max="42" width="6.54296875" style="2" customWidth="1"/>
    <col min="43" max="43" width="5.7265625" style="2" customWidth="1"/>
    <col min="44" max="44" width="7.7265625" style="2" customWidth="1"/>
    <col min="45" max="68" width="11.54296875" style="2" bestFit="1" customWidth="1"/>
    <col min="69" max="16384" width="11.453125" style="2"/>
  </cols>
  <sheetData>
    <row r="3" spans="2:68">
      <c r="B3" s="277" t="s">
        <v>174</v>
      </c>
    </row>
    <row r="4" spans="2:68">
      <c r="B4" s="277"/>
    </row>
    <row r="5" spans="2:68" s="241" customFormat="1">
      <c r="B5" s="278" t="s">
        <v>29</v>
      </c>
      <c r="C5" s="279"/>
      <c r="D5" s="279">
        <v>1</v>
      </c>
      <c r="E5" s="279">
        <v>2</v>
      </c>
      <c r="F5" s="279">
        <v>3</v>
      </c>
      <c r="G5" s="279">
        <v>4</v>
      </c>
      <c r="H5" s="279">
        <v>5</v>
      </c>
      <c r="I5" s="279">
        <v>6</v>
      </c>
      <c r="J5" s="279">
        <v>7</v>
      </c>
      <c r="K5" s="279">
        <v>8</v>
      </c>
      <c r="L5" s="279">
        <v>9</v>
      </c>
      <c r="M5" s="279">
        <v>10</v>
      </c>
      <c r="N5" s="279">
        <v>11</v>
      </c>
      <c r="O5" s="279">
        <v>12</v>
      </c>
      <c r="P5" s="279">
        <v>13</v>
      </c>
      <c r="Q5" s="279">
        <v>14</v>
      </c>
      <c r="R5" s="279">
        <v>15</v>
      </c>
      <c r="S5" s="279">
        <v>16</v>
      </c>
      <c r="T5" s="279">
        <v>17</v>
      </c>
      <c r="U5" s="279">
        <v>18</v>
      </c>
      <c r="V5" s="279">
        <v>19</v>
      </c>
      <c r="W5" s="279">
        <v>20</v>
      </c>
      <c r="X5" s="279">
        <v>21</v>
      </c>
      <c r="Y5" s="279">
        <v>22</v>
      </c>
      <c r="Z5" s="279">
        <v>23</v>
      </c>
      <c r="AA5" s="279">
        <v>24</v>
      </c>
      <c r="AB5" s="279">
        <v>25</v>
      </c>
      <c r="AC5" s="279">
        <v>26</v>
      </c>
      <c r="AD5" s="279">
        <v>27</v>
      </c>
      <c r="AE5" s="279">
        <v>28</v>
      </c>
      <c r="AF5" s="279">
        <v>29</v>
      </c>
      <c r="AG5" s="279">
        <v>30</v>
      </c>
      <c r="AH5" s="279">
        <v>31</v>
      </c>
      <c r="AI5" s="279">
        <f t="shared" ref="AI5:AR5" si="0">1+AH5</f>
        <v>32</v>
      </c>
      <c r="AJ5" s="279">
        <f t="shared" si="0"/>
        <v>33</v>
      </c>
      <c r="AK5" s="279">
        <f t="shared" si="0"/>
        <v>34</v>
      </c>
      <c r="AL5" s="279">
        <f t="shared" si="0"/>
        <v>35</v>
      </c>
      <c r="AM5" s="279">
        <f t="shared" si="0"/>
        <v>36</v>
      </c>
      <c r="AN5" s="279">
        <f t="shared" si="0"/>
        <v>37</v>
      </c>
      <c r="AO5" s="279">
        <f t="shared" si="0"/>
        <v>38</v>
      </c>
      <c r="AP5" s="279">
        <f t="shared" si="0"/>
        <v>39</v>
      </c>
      <c r="AQ5" s="279">
        <f t="shared" si="0"/>
        <v>40</v>
      </c>
      <c r="AR5" s="279">
        <f t="shared" si="0"/>
        <v>41</v>
      </c>
      <c r="AS5" s="279">
        <f t="shared" ref="AS5" si="1">1+AR5</f>
        <v>42</v>
      </c>
      <c r="AT5" s="279">
        <f t="shared" ref="AT5" si="2">1+AS5</f>
        <v>43</v>
      </c>
      <c r="AU5" s="279">
        <f t="shared" ref="AU5" si="3">1+AT5</f>
        <v>44</v>
      </c>
      <c r="AV5" s="279">
        <f t="shared" ref="AV5" si="4">1+AU5</f>
        <v>45</v>
      </c>
      <c r="AW5" s="279">
        <f t="shared" ref="AW5" si="5">1+AV5</f>
        <v>46</v>
      </c>
      <c r="AX5" s="279">
        <f t="shared" ref="AX5" si="6">1+AW5</f>
        <v>47</v>
      </c>
      <c r="AY5" s="279">
        <f t="shared" ref="AY5" si="7">1+AX5</f>
        <v>48</v>
      </c>
      <c r="AZ5" s="279">
        <f t="shared" ref="AZ5" si="8">1+AY5</f>
        <v>49</v>
      </c>
      <c r="BA5" s="279">
        <f t="shared" ref="BA5" si="9">1+AZ5</f>
        <v>50</v>
      </c>
      <c r="BB5" s="279">
        <f t="shared" ref="BB5" si="10">1+BA5</f>
        <v>51</v>
      </c>
      <c r="BC5" s="279">
        <f t="shared" ref="BC5" si="11">1+BB5</f>
        <v>52</v>
      </c>
      <c r="BD5" s="279">
        <f t="shared" ref="BD5" si="12">1+BC5</f>
        <v>53</v>
      </c>
      <c r="BE5" s="279">
        <f t="shared" ref="BE5" si="13">1+BD5</f>
        <v>54</v>
      </c>
      <c r="BF5" s="279">
        <f t="shared" ref="BF5" si="14">1+BE5</f>
        <v>55</v>
      </c>
      <c r="BG5" s="279">
        <f t="shared" ref="BG5" si="15">1+BF5</f>
        <v>56</v>
      </c>
      <c r="BH5" s="279">
        <f t="shared" ref="BH5" si="16">1+BG5</f>
        <v>57</v>
      </c>
      <c r="BI5" s="279">
        <f t="shared" ref="BI5" si="17">1+BH5</f>
        <v>58</v>
      </c>
      <c r="BJ5" s="279">
        <f t="shared" ref="BJ5" si="18">1+BI5</f>
        <v>59</v>
      </c>
      <c r="BK5" s="279">
        <f t="shared" ref="BK5" si="19">1+BJ5</f>
        <v>60</v>
      </c>
      <c r="BL5" s="279">
        <f t="shared" ref="BL5" si="20">1+BK5</f>
        <v>61</v>
      </c>
      <c r="BM5" s="279">
        <f t="shared" ref="BM5" si="21">1+BL5</f>
        <v>62</v>
      </c>
      <c r="BN5" s="279">
        <f t="shared" ref="BN5" si="22">1+BM5</f>
        <v>63</v>
      </c>
      <c r="BO5" s="279">
        <f t="shared" ref="BO5:BP5" si="23">1+BN5</f>
        <v>64</v>
      </c>
      <c r="BP5" s="279">
        <f t="shared" si="23"/>
        <v>65</v>
      </c>
    </row>
    <row r="7" spans="2:68">
      <c r="B7" s="243" t="s">
        <v>42</v>
      </c>
      <c r="C7" s="241">
        <v>0</v>
      </c>
      <c r="D7" s="246">
        <v>1.0000000000000001E-9</v>
      </c>
      <c r="E7" s="246">
        <v>1.0000000000000001E-9</v>
      </c>
      <c r="F7" s="246">
        <v>1.0000000000000001E-9</v>
      </c>
      <c r="G7" s="246">
        <v>1.0000000000000001E-9</v>
      </c>
      <c r="H7" s="246">
        <v>1.0000000000000001E-9</v>
      </c>
      <c r="I7" s="246">
        <v>1.0000000000000001E-9</v>
      </c>
      <c r="J7" s="246">
        <v>1.0000000000000001E-9</v>
      </c>
      <c r="K7" s="246">
        <v>1.0000000000000001E-9</v>
      </c>
      <c r="L7" s="246">
        <v>1.0000000000000001E-9</v>
      </c>
      <c r="M7" s="246">
        <v>1.0000000000000001E-9</v>
      </c>
      <c r="N7" s="246">
        <v>1.0000000000000001E-9</v>
      </c>
      <c r="O7" s="246">
        <v>1.0000000000000001E-9</v>
      </c>
      <c r="P7" s="246">
        <v>1.0000000000000001E-9</v>
      </c>
      <c r="Q7" s="246">
        <v>1.0000000000000001E-9</v>
      </c>
      <c r="R7" s="246">
        <v>1.0000000000000001E-9</v>
      </c>
      <c r="S7" s="246">
        <v>1.0000000000000001E-9</v>
      </c>
      <c r="T7" s="246">
        <v>1.0000000000000001E-9</v>
      </c>
      <c r="U7" s="246">
        <v>1.0000000000000001E-9</v>
      </c>
      <c r="V7" s="246">
        <v>1.0000000000000001E-9</v>
      </c>
      <c r="W7" s="246">
        <v>1.0000000000000001E-9</v>
      </c>
      <c r="X7" s="246">
        <v>1.0000000000000001E-9</v>
      </c>
      <c r="Y7" s="246">
        <v>1.0000000000000001E-9</v>
      </c>
      <c r="Z7" s="246">
        <v>1.0000000000000001E-9</v>
      </c>
      <c r="AA7" s="246">
        <v>1.0000000000000001E-9</v>
      </c>
      <c r="AB7" s="246">
        <v>1.0000000000000001E-9</v>
      </c>
      <c r="AC7" s="246">
        <v>1.0000000000000001E-9</v>
      </c>
      <c r="AD7" s="246">
        <v>1.0000000000000001E-9</v>
      </c>
      <c r="AE7" s="246">
        <v>1.0000000000000001E-9</v>
      </c>
      <c r="AF7" s="246">
        <v>1.0000000000000001E-9</v>
      </c>
      <c r="AG7" s="246">
        <v>1.0000000000000001E-9</v>
      </c>
      <c r="AH7" s="246">
        <v>1.0000000000000001E-9</v>
      </c>
      <c r="AI7" s="246">
        <v>1.0000000000000001E-9</v>
      </c>
      <c r="AJ7" s="246">
        <v>1.0000000000000001E-9</v>
      </c>
      <c r="AK7" s="246">
        <v>1.0000000000000001E-9</v>
      </c>
      <c r="AL7" s="246">
        <v>1.0000000000000001E-9</v>
      </c>
      <c r="AM7" s="246">
        <v>1.0000000000000001E-9</v>
      </c>
      <c r="AN7" s="246">
        <v>1.0000000000000001E-9</v>
      </c>
      <c r="AO7" s="246">
        <v>1.0000000000000001E-9</v>
      </c>
      <c r="AP7" s="246">
        <v>1.0000000000000001E-9</v>
      </c>
      <c r="AQ7" s="246">
        <v>1.0000000000000001E-9</v>
      </c>
      <c r="AR7" s="246">
        <v>0</v>
      </c>
      <c r="AS7" s="246">
        <v>0</v>
      </c>
      <c r="AT7" s="246">
        <v>0</v>
      </c>
      <c r="AU7" s="246">
        <v>0</v>
      </c>
      <c r="AV7" s="246">
        <v>0</v>
      </c>
      <c r="AW7" s="246">
        <v>0</v>
      </c>
      <c r="AX7" s="246">
        <v>0</v>
      </c>
      <c r="AY7" s="246">
        <v>0</v>
      </c>
      <c r="AZ7" s="246">
        <v>0</v>
      </c>
      <c r="BA7" s="246">
        <v>0</v>
      </c>
      <c r="BB7" s="246">
        <v>0</v>
      </c>
      <c r="BC7" s="246">
        <v>0</v>
      </c>
      <c r="BD7" s="246">
        <v>0</v>
      </c>
      <c r="BE7" s="246">
        <v>0</v>
      </c>
      <c r="BF7" s="246">
        <v>0</v>
      </c>
      <c r="BG7" s="246">
        <v>0</v>
      </c>
      <c r="BH7" s="246">
        <v>0</v>
      </c>
      <c r="BI7" s="246">
        <v>0</v>
      </c>
      <c r="BJ7" s="246">
        <v>0</v>
      </c>
      <c r="BK7" s="246">
        <v>0</v>
      </c>
      <c r="BL7" s="246">
        <v>0</v>
      </c>
      <c r="BM7" s="246">
        <v>0</v>
      </c>
      <c r="BN7" s="246">
        <v>0</v>
      </c>
      <c r="BO7" s="246">
        <v>0</v>
      </c>
      <c r="BP7" s="246">
        <v>0</v>
      </c>
    </row>
    <row r="8" spans="2:68" s="22" customFormat="1">
      <c r="B8" s="244"/>
      <c r="C8" s="241">
        <v>3</v>
      </c>
      <c r="D8" s="246">
        <f>1/C8*0.5*2</f>
        <v>0.33333333333333331</v>
      </c>
      <c r="E8" s="246">
        <f>(1-D8)/C8*2</f>
        <v>0.44444444444444448</v>
      </c>
      <c r="F8" s="246">
        <f>(1-D8-E8)*2/3</f>
        <v>0.14814814814814817</v>
      </c>
      <c r="G8" s="246">
        <f>(1-SUM(D8:F8))</f>
        <v>7.407407407407407E-2</v>
      </c>
      <c r="H8" s="246">
        <v>0</v>
      </c>
      <c r="I8" s="246">
        <v>0</v>
      </c>
      <c r="J8" s="246">
        <v>0</v>
      </c>
      <c r="K8" s="246">
        <v>0</v>
      </c>
      <c r="L8" s="246">
        <v>0</v>
      </c>
      <c r="M8" s="246">
        <v>0</v>
      </c>
      <c r="N8" s="246">
        <v>0</v>
      </c>
      <c r="O8" s="246">
        <v>0</v>
      </c>
      <c r="P8" s="246">
        <v>0</v>
      </c>
      <c r="Q8" s="246">
        <v>0</v>
      </c>
      <c r="R8" s="246">
        <v>0</v>
      </c>
      <c r="S8" s="246">
        <v>0</v>
      </c>
      <c r="T8" s="246">
        <v>0</v>
      </c>
      <c r="U8" s="246">
        <v>0</v>
      </c>
      <c r="V8" s="246">
        <v>0</v>
      </c>
      <c r="W8" s="246">
        <v>0</v>
      </c>
      <c r="X8" s="246">
        <v>0</v>
      </c>
      <c r="Y8" s="246">
        <v>0</v>
      </c>
      <c r="Z8" s="246">
        <v>0</v>
      </c>
      <c r="AA8" s="246">
        <v>0</v>
      </c>
      <c r="AB8" s="246">
        <v>0</v>
      </c>
      <c r="AC8" s="246">
        <v>0</v>
      </c>
      <c r="AD8" s="246">
        <v>0</v>
      </c>
      <c r="AE8" s="246">
        <v>0</v>
      </c>
      <c r="AF8" s="246">
        <v>0</v>
      </c>
      <c r="AG8" s="246">
        <v>0</v>
      </c>
      <c r="AH8" s="246">
        <v>0</v>
      </c>
      <c r="AI8" s="246">
        <v>0</v>
      </c>
      <c r="AJ8" s="246">
        <v>0</v>
      </c>
      <c r="AK8" s="246">
        <v>0</v>
      </c>
      <c r="AL8" s="246">
        <v>0</v>
      </c>
      <c r="AM8" s="246">
        <v>0</v>
      </c>
      <c r="AN8" s="246">
        <v>0</v>
      </c>
      <c r="AO8" s="246">
        <v>0</v>
      </c>
      <c r="AP8" s="246">
        <v>0</v>
      </c>
      <c r="AQ8" s="246">
        <v>0</v>
      </c>
      <c r="AR8" s="246">
        <v>0</v>
      </c>
      <c r="AS8" s="246">
        <v>0</v>
      </c>
      <c r="AT8" s="246">
        <v>0</v>
      </c>
      <c r="AU8" s="246">
        <v>0</v>
      </c>
      <c r="AV8" s="246">
        <v>0</v>
      </c>
      <c r="AW8" s="246">
        <v>0</v>
      </c>
      <c r="AX8" s="246">
        <v>0</v>
      </c>
      <c r="AY8" s="246">
        <v>0</v>
      </c>
      <c r="AZ8" s="246">
        <v>0</v>
      </c>
      <c r="BA8" s="246">
        <v>0</v>
      </c>
      <c r="BB8" s="246">
        <v>0</v>
      </c>
      <c r="BC8" s="246">
        <v>0</v>
      </c>
      <c r="BD8" s="246">
        <v>0</v>
      </c>
      <c r="BE8" s="246">
        <v>0</v>
      </c>
      <c r="BF8" s="246">
        <v>0</v>
      </c>
      <c r="BG8" s="246">
        <v>0</v>
      </c>
      <c r="BH8" s="246">
        <v>0</v>
      </c>
      <c r="BI8" s="246">
        <v>0</v>
      </c>
      <c r="BJ8" s="246">
        <v>0</v>
      </c>
      <c r="BK8" s="246">
        <v>0</v>
      </c>
      <c r="BL8" s="246">
        <v>0</v>
      </c>
      <c r="BM8" s="246">
        <v>0</v>
      </c>
      <c r="BN8" s="246">
        <v>0</v>
      </c>
      <c r="BO8" s="246">
        <v>0</v>
      </c>
      <c r="BP8" s="246">
        <v>0</v>
      </c>
    </row>
    <row r="9" spans="2:68" s="22" customFormat="1">
      <c r="B9" s="244"/>
      <c r="C9" s="241">
        <v>5</v>
      </c>
      <c r="D9" s="246">
        <f>1/C9*0.5*2</f>
        <v>0.2</v>
      </c>
      <c r="E9" s="246">
        <f>(1-D9)/C9*2</f>
        <v>0.32</v>
      </c>
      <c r="F9" s="246">
        <f>(1-SUM($D9:E9))*2/$C9</f>
        <v>0.192</v>
      </c>
      <c r="G9" s="246">
        <f>(1-SUM($D9:F9))*2/$C9</f>
        <v>0.11520000000000001</v>
      </c>
      <c r="H9" s="246">
        <v>0.11520000000000001</v>
      </c>
      <c r="I9" s="246">
        <f>(1-SUM($D9:H9))</f>
        <v>5.7600000000000096E-2</v>
      </c>
      <c r="J9" s="246">
        <v>0</v>
      </c>
      <c r="K9" s="246">
        <v>0</v>
      </c>
      <c r="L9" s="246">
        <v>0</v>
      </c>
      <c r="M9" s="246">
        <v>0</v>
      </c>
      <c r="N9" s="246">
        <v>0</v>
      </c>
      <c r="O9" s="246">
        <v>0</v>
      </c>
      <c r="P9" s="246">
        <v>0</v>
      </c>
      <c r="Q9" s="246">
        <v>0</v>
      </c>
      <c r="R9" s="246">
        <v>0</v>
      </c>
      <c r="S9" s="246">
        <v>0</v>
      </c>
      <c r="T9" s="246">
        <v>0</v>
      </c>
      <c r="U9" s="246">
        <v>0</v>
      </c>
      <c r="V9" s="246">
        <v>0</v>
      </c>
      <c r="W9" s="246">
        <v>0</v>
      </c>
      <c r="X9" s="246">
        <v>0</v>
      </c>
      <c r="Y9" s="246">
        <v>0</v>
      </c>
      <c r="Z9" s="246">
        <v>0</v>
      </c>
      <c r="AA9" s="246">
        <v>0</v>
      </c>
      <c r="AB9" s="246">
        <v>0</v>
      </c>
      <c r="AC9" s="246">
        <v>0</v>
      </c>
      <c r="AD9" s="246">
        <v>0</v>
      </c>
      <c r="AE9" s="246">
        <v>0</v>
      </c>
      <c r="AF9" s="246">
        <v>0</v>
      </c>
      <c r="AG9" s="246">
        <v>0</v>
      </c>
      <c r="AH9" s="246">
        <v>0</v>
      </c>
      <c r="AI9" s="246">
        <v>0</v>
      </c>
      <c r="AJ9" s="246">
        <v>0</v>
      </c>
      <c r="AK9" s="246">
        <v>0</v>
      </c>
      <c r="AL9" s="246">
        <v>0</v>
      </c>
      <c r="AM9" s="246">
        <v>0</v>
      </c>
      <c r="AN9" s="246">
        <v>0</v>
      </c>
      <c r="AO9" s="246">
        <v>0</v>
      </c>
      <c r="AP9" s="246">
        <v>0</v>
      </c>
      <c r="AQ9" s="246">
        <v>0</v>
      </c>
      <c r="AR9" s="246">
        <v>0</v>
      </c>
      <c r="AS9" s="246">
        <v>0</v>
      </c>
      <c r="AT9" s="246">
        <v>0</v>
      </c>
      <c r="AU9" s="246">
        <v>0</v>
      </c>
      <c r="AV9" s="246">
        <v>0</v>
      </c>
      <c r="AW9" s="246">
        <v>0</v>
      </c>
      <c r="AX9" s="246">
        <v>0</v>
      </c>
      <c r="AY9" s="246">
        <v>0</v>
      </c>
      <c r="AZ9" s="246">
        <v>0</v>
      </c>
      <c r="BA9" s="246">
        <v>0</v>
      </c>
      <c r="BB9" s="246">
        <v>0</v>
      </c>
      <c r="BC9" s="246">
        <v>0</v>
      </c>
      <c r="BD9" s="246">
        <v>0</v>
      </c>
      <c r="BE9" s="246">
        <v>0</v>
      </c>
      <c r="BF9" s="246">
        <v>0</v>
      </c>
      <c r="BG9" s="246">
        <v>0</v>
      </c>
      <c r="BH9" s="246">
        <v>0</v>
      </c>
      <c r="BI9" s="246">
        <v>0</v>
      </c>
      <c r="BJ9" s="246">
        <v>0</v>
      </c>
      <c r="BK9" s="246">
        <v>0</v>
      </c>
      <c r="BL9" s="246">
        <v>0</v>
      </c>
      <c r="BM9" s="246">
        <v>0</v>
      </c>
      <c r="BN9" s="246">
        <v>0</v>
      </c>
      <c r="BO9" s="246">
        <v>0</v>
      </c>
      <c r="BP9" s="246">
        <v>0</v>
      </c>
    </row>
    <row r="10" spans="2:68" s="22" customFormat="1" ht="13">
      <c r="B10" s="244"/>
      <c r="C10" s="241">
        <v>7</v>
      </c>
      <c r="D10" s="246">
        <f>1/C10*0.5*2</f>
        <v>0.14285714285714285</v>
      </c>
      <c r="E10" s="247">
        <f>(1-D10)/C10*2</f>
        <v>0.24489795918367349</v>
      </c>
      <c r="F10" s="246">
        <f>(1-SUM($D10:E10))*2/$C10</f>
        <v>0.1749271137026239</v>
      </c>
      <c r="G10" s="246">
        <f>(1-SUM($D10:F10))*2/$C10</f>
        <v>0.12494793835901707</v>
      </c>
      <c r="H10" s="246">
        <v>8.9200000000000002E-2</v>
      </c>
      <c r="I10" s="246">
        <v>8.9200000000000002E-2</v>
      </c>
      <c r="J10" s="246">
        <v>8.9200000000000002E-2</v>
      </c>
      <c r="K10" s="246">
        <f>(1-SUM($D10:J10))</f>
        <v>4.4769845897542737E-2</v>
      </c>
      <c r="L10" s="246">
        <v>0</v>
      </c>
      <c r="M10" s="246">
        <v>0</v>
      </c>
      <c r="N10" s="246">
        <v>0</v>
      </c>
      <c r="O10" s="246">
        <v>0</v>
      </c>
      <c r="P10" s="246">
        <v>0</v>
      </c>
      <c r="Q10" s="246">
        <v>0</v>
      </c>
      <c r="R10" s="246">
        <v>0</v>
      </c>
      <c r="S10" s="246">
        <v>0</v>
      </c>
      <c r="T10" s="246">
        <v>0</v>
      </c>
      <c r="U10" s="246">
        <v>0</v>
      </c>
      <c r="V10" s="246">
        <v>0</v>
      </c>
      <c r="W10" s="246">
        <v>0</v>
      </c>
      <c r="X10" s="246">
        <v>0</v>
      </c>
      <c r="Y10" s="246">
        <v>0</v>
      </c>
      <c r="Z10" s="246">
        <v>0</v>
      </c>
      <c r="AA10" s="246">
        <v>0</v>
      </c>
      <c r="AB10" s="246">
        <v>0</v>
      </c>
      <c r="AC10" s="246">
        <v>0</v>
      </c>
      <c r="AD10" s="246">
        <v>0</v>
      </c>
      <c r="AE10" s="246">
        <v>0</v>
      </c>
      <c r="AF10" s="246">
        <v>0</v>
      </c>
      <c r="AG10" s="246">
        <v>0</v>
      </c>
      <c r="AH10" s="246">
        <v>0</v>
      </c>
      <c r="AI10" s="246">
        <v>0</v>
      </c>
      <c r="AJ10" s="246">
        <v>0</v>
      </c>
      <c r="AK10" s="246">
        <v>0</v>
      </c>
      <c r="AL10" s="246">
        <v>0</v>
      </c>
      <c r="AM10" s="246">
        <v>0</v>
      </c>
      <c r="AN10" s="246">
        <v>0</v>
      </c>
      <c r="AO10" s="246">
        <v>0</v>
      </c>
      <c r="AP10" s="246">
        <v>0</v>
      </c>
      <c r="AQ10" s="246">
        <v>0</v>
      </c>
      <c r="AR10" s="246">
        <v>0</v>
      </c>
      <c r="AS10" s="246">
        <v>0</v>
      </c>
      <c r="AT10" s="246">
        <v>0</v>
      </c>
      <c r="AU10" s="246">
        <v>0</v>
      </c>
      <c r="AV10" s="246">
        <v>0</v>
      </c>
      <c r="AW10" s="246">
        <v>0</v>
      </c>
      <c r="AX10" s="246">
        <v>0</v>
      </c>
      <c r="AY10" s="246">
        <v>0</v>
      </c>
      <c r="AZ10" s="246">
        <v>0</v>
      </c>
      <c r="BA10" s="246">
        <v>0</v>
      </c>
      <c r="BB10" s="246">
        <v>0</v>
      </c>
      <c r="BC10" s="246">
        <v>0</v>
      </c>
      <c r="BD10" s="246">
        <v>0</v>
      </c>
      <c r="BE10" s="246">
        <v>0</v>
      </c>
      <c r="BF10" s="246">
        <v>0</v>
      </c>
      <c r="BG10" s="246">
        <v>0</v>
      </c>
      <c r="BH10" s="246">
        <v>0</v>
      </c>
      <c r="BI10" s="246">
        <v>0</v>
      </c>
      <c r="BJ10" s="246">
        <v>0</v>
      </c>
      <c r="BK10" s="246">
        <v>0</v>
      </c>
      <c r="BL10" s="246">
        <v>0</v>
      </c>
      <c r="BM10" s="246">
        <v>0</v>
      </c>
      <c r="BN10" s="246">
        <v>0</v>
      </c>
      <c r="BO10" s="246">
        <v>0</v>
      </c>
      <c r="BP10" s="246">
        <v>0</v>
      </c>
    </row>
    <row r="11" spans="2:68" s="22" customFormat="1">
      <c r="B11" s="244"/>
      <c r="C11" s="241">
        <v>10</v>
      </c>
      <c r="D11" s="246">
        <f>1/C11*0.5*2</f>
        <v>0.1</v>
      </c>
      <c r="E11" s="246">
        <f>(1-D11)/C11*2</f>
        <v>0.18</v>
      </c>
      <c r="F11" s="246">
        <f>(1-SUM($D11:E11))*2/$C11</f>
        <v>0.14399999999999999</v>
      </c>
      <c r="G11" s="246">
        <f>(1-SUM($D11:F11))*2/$C11</f>
        <v>0.1152</v>
      </c>
      <c r="H11" s="246">
        <f>(1-SUM($D11:G11))*2/$C11</f>
        <v>9.2159999999999992E-2</v>
      </c>
      <c r="I11" s="246">
        <f>(1-SUM($D11:H11))*2/$C11</f>
        <v>7.3727999999999988E-2</v>
      </c>
      <c r="J11" s="246">
        <f>(1-SUM($D11:$I11))*(2/9)</f>
        <v>6.5535999999999983E-2</v>
      </c>
      <c r="K11" s="246">
        <f>(1-SUM($D11:$I11))*(2/9)</f>
        <v>6.5535999999999983E-2</v>
      </c>
      <c r="L11" s="246">
        <f>(1-SUM($D11:$I11))*(2/9)</f>
        <v>6.5535999999999983E-2</v>
      </c>
      <c r="M11" s="246">
        <f>(1-SUM($D11:$I11))*(2/9)</f>
        <v>6.5535999999999983E-2</v>
      </c>
      <c r="N11" s="246">
        <f>(1-SUM($D11:$M11))</f>
        <v>3.2767999999999908E-2</v>
      </c>
      <c r="O11" s="246">
        <v>0</v>
      </c>
      <c r="P11" s="246">
        <v>0</v>
      </c>
      <c r="Q11" s="246">
        <v>0</v>
      </c>
      <c r="R11" s="246">
        <v>0</v>
      </c>
      <c r="S11" s="246">
        <v>0</v>
      </c>
      <c r="T11" s="246">
        <v>0</v>
      </c>
      <c r="U11" s="246">
        <v>0</v>
      </c>
      <c r="V11" s="246">
        <v>0</v>
      </c>
      <c r="W11" s="246">
        <v>0</v>
      </c>
      <c r="X11" s="246">
        <v>0</v>
      </c>
      <c r="Y11" s="246">
        <v>0</v>
      </c>
      <c r="Z11" s="246">
        <v>0</v>
      </c>
      <c r="AA11" s="246">
        <v>0</v>
      </c>
      <c r="AB11" s="246">
        <v>0</v>
      </c>
      <c r="AC11" s="246">
        <v>0</v>
      </c>
      <c r="AD11" s="246">
        <v>0</v>
      </c>
      <c r="AE11" s="246">
        <v>0</v>
      </c>
      <c r="AF11" s="246">
        <v>0</v>
      </c>
      <c r="AG11" s="246">
        <v>0</v>
      </c>
      <c r="AH11" s="246">
        <v>0</v>
      </c>
      <c r="AI11" s="246">
        <v>0</v>
      </c>
      <c r="AJ11" s="246">
        <v>0</v>
      </c>
      <c r="AK11" s="246">
        <v>0</v>
      </c>
      <c r="AL11" s="246">
        <v>0</v>
      </c>
      <c r="AM11" s="246">
        <v>0</v>
      </c>
      <c r="AN11" s="246">
        <v>0</v>
      </c>
      <c r="AO11" s="246">
        <v>0</v>
      </c>
      <c r="AP11" s="246">
        <v>0</v>
      </c>
      <c r="AQ11" s="246">
        <v>0</v>
      </c>
      <c r="AR11" s="246">
        <v>0</v>
      </c>
      <c r="AS11" s="246">
        <v>0</v>
      </c>
      <c r="AT11" s="246">
        <v>0</v>
      </c>
      <c r="AU11" s="246">
        <v>0</v>
      </c>
      <c r="AV11" s="246">
        <v>0</v>
      </c>
      <c r="AW11" s="246">
        <v>0</v>
      </c>
      <c r="AX11" s="246">
        <v>0</v>
      </c>
      <c r="AY11" s="246">
        <v>0</v>
      </c>
      <c r="AZ11" s="246">
        <v>0</v>
      </c>
      <c r="BA11" s="246">
        <v>0</v>
      </c>
      <c r="BB11" s="246">
        <v>0</v>
      </c>
      <c r="BC11" s="246">
        <v>0</v>
      </c>
      <c r="BD11" s="246">
        <v>0</v>
      </c>
      <c r="BE11" s="246">
        <v>0</v>
      </c>
      <c r="BF11" s="246">
        <v>0</v>
      </c>
      <c r="BG11" s="246">
        <v>0</v>
      </c>
      <c r="BH11" s="246">
        <v>0</v>
      </c>
      <c r="BI11" s="246">
        <v>0</v>
      </c>
      <c r="BJ11" s="246">
        <v>0</v>
      </c>
      <c r="BK11" s="246">
        <v>0</v>
      </c>
      <c r="BL11" s="246">
        <v>0</v>
      </c>
      <c r="BM11" s="246">
        <v>0</v>
      </c>
      <c r="BN11" s="246">
        <v>0</v>
      </c>
      <c r="BO11" s="246">
        <v>0</v>
      </c>
      <c r="BP11" s="246">
        <v>0</v>
      </c>
    </row>
    <row r="12" spans="2:68" s="22" customFormat="1">
      <c r="B12" s="244"/>
      <c r="C12" s="241">
        <v>15</v>
      </c>
      <c r="D12" s="246">
        <v>0.05</v>
      </c>
      <c r="E12" s="246">
        <v>9.5000000000000001E-2</v>
      </c>
      <c r="F12" s="246">
        <v>8.5500000000000007E-2</v>
      </c>
      <c r="G12" s="246">
        <v>7.6999999999999999E-2</v>
      </c>
      <c r="H12" s="246">
        <v>6.9199999999999998E-2</v>
      </c>
      <c r="I12" s="246">
        <v>6.2300000000000001E-2</v>
      </c>
      <c r="J12" s="246">
        <v>5.91E-2</v>
      </c>
      <c r="K12" s="246">
        <v>5.91E-2</v>
      </c>
      <c r="L12" s="246">
        <v>5.91E-2</v>
      </c>
      <c r="M12" s="246">
        <v>5.91E-2</v>
      </c>
      <c r="N12" s="246">
        <v>5.91E-2</v>
      </c>
      <c r="O12" s="246">
        <v>5.91E-2</v>
      </c>
      <c r="P12" s="246">
        <v>5.91E-2</v>
      </c>
      <c r="Q12" s="246">
        <v>5.91E-2</v>
      </c>
      <c r="R12" s="246">
        <v>5.91E-2</v>
      </c>
      <c r="S12" s="246">
        <v>2.9100000000000001E-2</v>
      </c>
      <c r="T12" s="246">
        <v>0</v>
      </c>
      <c r="U12" s="246">
        <v>0</v>
      </c>
      <c r="V12" s="246">
        <v>0</v>
      </c>
      <c r="W12" s="246">
        <v>0</v>
      </c>
      <c r="X12" s="246">
        <v>0</v>
      </c>
      <c r="Y12" s="246">
        <v>0</v>
      </c>
      <c r="Z12" s="246">
        <v>0</v>
      </c>
      <c r="AA12" s="246">
        <v>0</v>
      </c>
      <c r="AB12" s="246">
        <v>0</v>
      </c>
      <c r="AC12" s="246">
        <v>0</v>
      </c>
      <c r="AD12" s="246">
        <v>0</v>
      </c>
      <c r="AE12" s="246">
        <v>0</v>
      </c>
      <c r="AF12" s="246">
        <v>0</v>
      </c>
      <c r="AG12" s="246">
        <v>0</v>
      </c>
      <c r="AH12" s="246">
        <v>0</v>
      </c>
      <c r="AI12" s="246">
        <v>0</v>
      </c>
      <c r="AJ12" s="246">
        <v>0</v>
      </c>
      <c r="AK12" s="246">
        <v>0</v>
      </c>
      <c r="AL12" s="246">
        <v>0</v>
      </c>
      <c r="AM12" s="246">
        <v>0</v>
      </c>
      <c r="AN12" s="246">
        <v>0</v>
      </c>
      <c r="AO12" s="246">
        <v>0</v>
      </c>
      <c r="AP12" s="246">
        <v>0</v>
      </c>
      <c r="AQ12" s="246">
        <v>0</v>
      </c>
      <c r="AR12" s="246">
        <v>0</v>
      </c>
      <c r="AS12" s="246">
        <v>0</v>
      </c>
      <c r="AT12" s="246">
        <v>0</v>
      </c>
      <c r="AU12" s="246">
        <v>0</v>
      </c>
      <c r="AV12" s="246">
        <v>0</v>
      </c>
      <c r="AW12" s="246">
        <v>0</v>
      </c>
      <c r="AX12" s="246">
        <v>0</v>
      </c>
      <c r="AY12" s="246">
        <v>0</v>
      </c>
      <c r="AZ12" s="246">
        <v>0</v>
      </c>
      <c r="BA12" s="246">
        <v>0</v>
      </c>
      <c r="BB12" s="246">
        <v>0</v>
      </c>
      <c r="BC12" s="246">
        <v>0</v>
      </c>
      <c r="BD12" s="246">
        <v>0</v>
      </c>
      <c r="BE12" s="246">
        <v>0</v>
      </c>
      <c r="BF12" s="246">
        <v>0</v>
      </c>
      <c r="BG12" s="246">
        <v>0</v>
      </c>
      <c r="BH12" s="246">
        <v>0</v>
      </c>
      <c r="BI12" s="246">
        <v>0</v>
      </c>
      <c r="BJ12" s="246">
        <v>0</v>
      </c>
      <c r="BK12" s="246">
        <v>0</v>
      </c>
      <c r="BL12" s="246">
        <v>0</v>
      </c>
      <c r="BM12" s="246">
        <v>0</v>
      </c>
      <c r="BN12" s="246">
        <v>0</v>
      </c>
      <c r="BO12" s="246">
        <v>0</v>
      </c>
      <c r="BP12" s="246">
        <v>0</v>
      </c>
    </row>
    <row r="13" spans="2:68" s="22" customFormat="1">
      <c r="B13" s="244"/>
      <c r="C13" s="241">
        <v>20</v>
      </c>
      <c r="D13" s="246">
        <v>3.7499999999999999E-2</v>
      </c>
      <c r="E13" s="246">
        <v>7.22E-2</v>
      </c>
      <c r="F13" s="246">
        <v>6.6799999999999998E-2</v>
      </c>
      <c r="G13" s="246">
        <v>6.1800000000000001E-2</v>
      </c>
      <c r="H13" s="246">
        <v>5.7099999999999998E-2</v>
      </c>
      <c r="I13" s="246">
        <v>5.28E-2</v>
      </c>
      <c r="J13" s="246">
        <v>4.8899999999999999E-2</v>
      </c>
      <c r="K13" s="246">
        <v>4.4699999999999997E-2</v>
      </c>
      <c r="L13" s="246">
        <v>4.4699999999999997E-2</v>
      </c>
      <c r="M13" s="246">
        <v>4.4699999999999997E-2</v>
      </c>
      <c r="N13" s="246">
        <v>4.4699999999999997E-2</v>
      </c>
      <c r="O13" s="246">
        <v>4.4699999999999997E-2</v>
      </c>
      <c r="P13" s="246">
        <v>4.4699999999999997E-2</v>
      </c>
      <c r="Q13" s="246">
        <v>4.4699999999999997E-2</v>
      </c>
      <c r="R13" s="246">
        <v>4.4699999999999997E-2</v>
      </c>
      <c r="S13" s="246">
        <v>4.4699999999999997E-2</v>
      </c>
      <c r="T13" s="246">
        <v>4.4699999999999997E-2</v>
      </c>
      <c r="U13" s="246">
        <v>4.4699999999999997E-2</v>
      </c>
      <c r="V13" s="246">
        <v>4.4699999999999997E-2</v>
      </c>
      <c r="W13" s="246">
        <v>4.4699999999999997E-2</v>
      </c>
      <c r="X13" s="246">
        <v>2.18E-2</v>
      </c>
      <c r="Y13" s="246">
        <v>0</v>
      </c>
      <c r="Z13" s="246">
        <v>0</v>
      </c>
      <c r="AA13" s="246">
        <v>0</v>
      </c>
      <c r="AB13" s="246">
        <v>0</v>
      </c>
      <c r="AC13" s="246">
        <v>0</v>
      </c>
      <c r="AD13" s="246">
        <v>0</v>
      </c>
      <c r="AE13" s="246">
        <v>0</v>
      </c>
      <c r="AF13" s="246">
        <v>0</v>
      </c>
      <c r="AG13" s="246">
        <v>0</v>
      </c>
      <c r="AH13" s="246">
        <v>0</v>
      </c>
      <c r="AI13" s="246">
        <v>0</v>
      </c>
      <c r="AJ13" s="246">
        <v>0</v>
      </c>
      <c r="AK13" s="246">
        <v>0</v>
      </c>
      <c r="AL13" s="246">
        <v>0</v>
      </c>
      <c r="AM13" s="246">
        <v>0</v>
      </c>
      <c r="AN13" s="246">
        <v>0</v>
      </c>
      <c r="AO13" s="246">
        <v>0</v>
      </c>
      <c r="AP13" s="246">
        <v>0</v>
      </c>
      <c r="AQ13" s="246">
        <v>0</v>
      </c>
      <c r="AR13" s="246">
        <v>0</v>
      </c>
      <c r="AS13" s="246">
        <v>0</v>
      </c>
      <c r="AT13" s="246">
        <v>0</v>
      </c>
      <c r="AU13" s="246">
        <v>0</v>
      </c>
      <c r="AV13" s="246">
        <v>0</v>
      </c>
      <c r="AW13" s="246">
        <v>0</v>
      </c>
      <c r="AX13" s="246">
        <v>0</v>
      </c>
      <c r="AY13" s="246">
        <v>0</v>
      </c>
      <c r="AZ13" s="246">
        <v>0</v>
      </c>
      <c r="BA13" s="246">
        <v>0</v>
      </c>
      <c r="BB13" s="246">
        <v>0</v>
      </c>
      <c r="BC13" s="246">
        <v>0</v>
      </c>
      <c r="BD13" s="246">
        <v>0</v>
      </c>
      <c r="BE13" s="246">
        <v>0</v>
      </c>
      <c r="BF13" s="246">
        <v>0</v>
      </c>
      <c r="BG13" s="246">
        <v>0</v>
      </c>
      <c r="BH13" s="246">
        <v>0</v>
      </c>
      <c r="BI13" s="246">
        <v>0</v>
      </c>
      <c r="BJ13" s="246">
        <v>0</v>
      </c>
      <c r="BK13" s="246">
        <v>0</v>
      </c>
      <c r="BL13" s="246">
        <v>0</v>
      </c>
      <c r="BM13" s="246">
        <v>0</v>
      </c>
      <c r="BN13" s="246">
        <v>0</v>
      </c>
      <c r="BO13" s="246">
        <v>0</v>
      </c>
      <c r="BP13" s="246">
        <v>0</v>
      </c>
    </row>
    <row r="14" spans="2:68" s="22" customFormat="1">
      <c r="B14" s="245"/>
      <c r="C14" s="242">
        <v>40</v>
      </c>
      <c r="D14" s="248">
        <f t="shared" ref="D14:AQ14" si="24">1/40</f>
        <v>2.5000000000000001E-2</v>
      </c>
      <c r="E14" s="248">
        <f t="shared" si="24"/>
        <v>2.5000000000000001E-2</v>
      </c>
      <c r="F14" s="248">
        <f t="shared" si="24"/>
        <v>2.5000000000000001E-2</v>
      </c>
      <c r="G14" s="248">
        <f t="shared" si="24"/>
        <v>2.5000000000000001E-2</v>
      </c>
      <c r="H14" s="248">
        <f t="shared" si="24"/>
        <v>2.5000000000000001E-2</v>
      </c>
      <c r="I14" s="248">
        <f t="shared" si="24"/>
        <v>2.5000000000000001E-2</v>
      </c>
      <c r="J14" s="248">
        <f t="shared" si="24"/>
        <v>2.5000000000000001E-2</v>
      </c>
      <c r="K14" s="248">
        <f t="shared" si="24"/>
        <v>2.5000000000000001E-2</v>
      </c>
      <c r="L14" s="248">
        <f t="shared" si="24"/>
        <v>2.5000000000000001E-2</v>
      </c>
      <c r="M14" s="248">
        <f t="shared" si="24"/>
        <v>2.5000000000000001E-2</v>
      </c>
      <c r="N14" s="248">
        <f t="shared" si="24"/>
        <v>2.5000000000000001E-2</v>
      </c>
      <c r="O14" s="248">
        <f t="shared" si="24"/>
        <v>2.5000000000000001E-2</v>
      </c>
      <c r="P14" s="248">
        <f t="shared" si="24"/>
        <v>2.5000000000000001E-2</v>
      </c>
      <c r="Q14" s="248">
        <f t="shared" si="24"/>
        <v>2.5000000000000001E-2</v>
      </c>
      <c r="R14" s="248">
        <f t="shared" si="24"/>
        <v>2.5000000000000001E-2</v>
      </c>
      <c r="S14" s="248">
        <f t="shared" si="24"/>
        <v>2.5000000000000001E-2</v>
      </c>
      <c r="T14" s="248">
        <f t="shared" si="24"/>
        <v>2.5000000000000001E-2</v>
      </c>
      <c r="U14" s="248">
        <f t="shared" si="24"/>
        <v>2.5000000000000001E-2</v>
      </c>
      <c r="V14" s="248">
        <f t="shared" si="24"/>
        <v>2.5000000000000001E-2</v>
      </c>
      <c r="W14" s="248">
        <f t="shared" si="24"/>
        <v>2.5000000000000001E-2</v>
      </c>
      <c r="X14" s="248">
        <f t="shared" si="24"/>
        <v>2.5000000000000001E-2</v>
      </c>
      <c r="Y14" s="248">
        <f t="shared" si="24"/>
        <v>2.5000000000000001E-2</v>
      </c>
      <c r="Z14" s="248">
        <f t="shared" si="24"/>
        <v>2.5000000000000001E-2</v>
      </c>
      <c r="AA14" s="248">
        <f t="shared" si="24"/>
        <v>2.5000000000000001E-2</v>
      </c>
      <c r="AB14" s="248">
        <f t="shared" si="24"/>
        <v>2.5000000000000001E-2</v>
      </c>
      <c r="AC14" s="248">
        <f t="shared" si="24"/>
        <v>2.5000000000000001E-2</v>
      </c>
      <c r="AD14" s="248">
        <f t="shared" si="24"/>
        <v>2.5000000000000001E-2</v>
      </c>
      <c r="AE14" s="248">
        <f t="shared" si="24"/>
        <v>2.5000000000000001E-2</v>
      </c>
      <c r="AF14" s="248">
        <f t="shared" si="24"/>
        <v>2.5000000000000001E-2</v>
      </c>
      <c r="AG14" s="248">
        <f t="shared" si="24"/>
        <v>2.5000000000000001E-2</v>
      </c>
      <c r="AH14" s="248">
        <f t="shared" si="24"/>
        <v>2.5000000000000001E-2</v>
      </c>
      <c r="AI14" s="248">
        <f t="shared" si="24"/>
        <v>2.5000000000000001E-2</v>
      </c>
      <c r="AJ14" s="248">
        <f t="shared" si="24"/>
        <v>2.5000000000000001E-2</v>
      </c>
      <c r="AK14" s="248">
        <f t="shared" si="24"/>
        <v>2.5000000000000001E-2</v>
      </c>
      <c r="AL14" s="248">
        <f t="shared" si="24"/>
        <v>2.5000000000000001E-2</v>
      </c>
      <c r="AM14" s="248">
        <f t="shared" si="24"/>
        <v>2.5000000000000001E-2</v>
      </c>
      <c r="AN14" s="248">
        <f t="shared" si="24"/>
        <v>2.5000000000000001E-2</v>
      </c>
      <c r="AO14" s="248">
        <f t="shared" si="24"/>
        <v>2.5000000000000001E-2</v>
      </c>
      <c r="AP14" s="248">
        <f t="shared" si="24"/>
        <v>2.5000000000000001E-2</v>
      </c>
      <c r="AQ14" s="248">
        <f t="shared" si="24"/>
        <v>2.5000000000000001E-2</v>
      </c>
      <c r="AR14" s="248">
        <v>0</v>
      </c>
      <c r="AS14" s="248">
        <v>0</v>
      </c>
      <c r="AT14" s="248">
        <v>0</v>
      </c>
      <c r="AU14" s="248">
        <v>0</v>
      </c>
      <c r="AV14" s="248">
        <v>0</v>
      </c>
      <c r="AW14" s="248">
        <v>0</v>
      </c>
      <c r="AX14" s="248">
        <v>0</v>
      </c>
      <c r="AY14" s="248">
        <v>0</v>
      </c>
      <c r="AZ14" s="248">
        <v>0</v>
      </c>
      <c r="BA14" s="248">
        <v>0</v>
      </c>
      <c r="BB14" s="248">
        <v>0</v>
      </c>
      <c r="BC14" s="248">
        <v>0</v>
      </c>
      <c r="BD14" s="248">
        <v>0</v>
      </c>
      <c r="BE14" s="248">
        <v>0</v>
      </c>
      <c r="BF14" s="248">
        <v>0</v>
      </c>
      <c r="BG14" s="248">
        <v>0</v>
      </c>
      <c r="BH14" s="248">
        <v>0</v>
      </c>
      <c r="BI14" s="248">
        <v>0</v>
      </c>
      <c r="BJ14" s="248">
        <v>0</v>
      </c>
      <c r="BK14" s="248">
        <v>0</v>
      </c>
      <c r="BL14" s="248">
        <v>0</v>
      </c>
      <c r="BM14" s="248">
        <v>0</v>
      </c>
      <c r="BN14" s="248">
        <v>0</v>
      </c>
      <c r="BO14" s="248">
        <v>0</v>
      </c>
      <c r="BP14" s="248">
        <v>0</v>
      </c>
    </row>
    <row r="15" spans="2:68">
      <c r="B15" s="243" t="s">
        <v>165</v>
      </c>
      <c r="C15" s="241">
        <f>'Financial Assumptions'!$C$11</f>
        <v>10</v>
      </c>
      <c r="D15" s="246">
        <f>1/$C$15</f>
        <v>0.1</v>
      </c>
      <c r="E15" s="246">
        <f t="shared" ref="E15:AP15" si="25">1/$C$15</f>
        <v>0.1</v>
      </c>
      <c r="F15" s="246">
        <f t="shared" si="25"/>
        <v>0.1</v>
      </c>
      <c r="G15" s="246">
        <f t="shared" si="25"/>
        <v>0.1</v>
      </c>
      <c r="H15" s="246">
        <f t="shared" si="25"/>
        <v>0.1</v>
      </c>
      <c r="I15" s="246">
        <f t="shared" si="25"/>
        <v>0.1</v>
      </c>
      <c r="J15" s="246">
        <f t="shared" si="25"/>
        <v>0.1</v>
      </c>
      <c r="K15" s="246">
        <f t="shared" si="25"/>
        <v>0.1</v>
      </c>
      <c r="L15" s="246">
        <f t="shared" si="25"/>
        <v>0.1</v>
      </c>
      <c r="M15" s="246">
        <f t="shared" si="25"/>
        <v>0.1</v>
      </c>
      <c r="N15" s="246">
        <f t="shared" si="25"/>
        <v>0.1</v>
      </c>
      <c r="O15" s="246">
        <f t="shared" si="25"/>
        <v>0.1</v>
      </c>
      <c r="P15" s="246">
        <f t="shared" si="25"/>
        <v>0.1</v>
      </c>
      <c r="Q15" s="246">
        <f t="shared" si="25"/>
        <v>0.1</v>
      </c>
      <c r="R15" s="246">
        <f t="shared" si="25"/>
        <v>0.1</v>
      </c>
      <c r="S15" s="246">
        <f t="shared" si="25"/>
        <v>0.1</v>
      </c>
      <c r="T15" s="246">
        <f t="shared" si="25"/>
        <v>0.1</v>
      </c>
      <c r="U15" s="246">
        <f t="shared" si="25"/>
        <v>0.1</v>
      </c>
      <c r="V15" s="246">
        <f t="shared" si="25"/>
        <v>0.1</v>
      </c>
      <c r="W15" s="246">
        <f t="shared" si="25"/>
        <v>0.1</v>
      </c>
      <c r="X15" s="246">
        <f t="shared" si="25"/>
        <v>0.1</v>
      </c>
      <c r="Y15" s="246">
        <f t="shared" si="25"/>
        <v>0.1</v>
      </c>
      <c r="Z15" s="246">
        <f t="shared" si="25"/>
        <v>0.1</v>
      </c>
      <c r="AA15" s="246">
        <f t="shared" si="25"/>
        <v>0.1</v>
      </c>
      <c r="AB15" s="246">
        <f t="shared" si="25"/>
        <v>0.1</v>
      </c>
      <c r="AC15" s="246">
        <f t="shared" si="25"/>
        <v>0.1</v>
      </c>
      <c r="AD15" s="246">
        <f t="shared" si="25"/>
        <v>0.1</v>
      </c>
      <c r="AE15" s="246">
        <f t="shared" si="25"/>
        <v>0.1</v>
      </c>
      <c r="AF15" s="246">
        <f t="shared" si="25"/>
        <v>0.1</v>
      </c>
      <c r="AG15" s="246">
        <f t="shared" si="25"/>
        <v>0.1</v>
      </c>
      <c r="AH15" s="246">
        <f t="shared" si="25"/>
        <v>0.1</v>
      </c>
      <c r="AI15" s="246">
        <f t="shared" si="25"/>
        <v>0.1</v>
      </c>
      <c r="AJ15" s="246">
        <f t="shared" si="25"/>
        <v>0.1</v>
      </c>
      <c r="AK15" s="246">
        <f t="shared" si="25"/>
        <v>0.1</v>
      </c>
      <c r="AL15" s="246">
        <f t="shared" si="25"/>
        <v>0.1</v>
      </c>
      <c r="AM15" s="246">
        <f t="shared" si="25"/>
        <v>0.1</v>
      </c>
      <c r="AN15" s="246">
        <f t="shared" si="25"/>
        <v>0.1</v>
      </c>
      <c r="AO15" s="246">
        <f t="shared" si="25"/>
        <v>0.1</v>
      </c>
      <c r="AP15" s="246">
        <f t="shared" si="25"/>
        <v>0.1</v>
      </c>
      <c r="AQ15" s="246">
        <v>0</v>
      </c>
      <c r="AR15" s="246">
        <v>0</v>
      </c>
      <c r="AS15" s="246">
        <v>0</v>
      </c>
      <c r="AT15" s="246">
        <v>0</v>
      </c>
      <c r="AU15" s="246">
        <v>0</v>
      </c>
      <c r="AV15" s="246">
        <v>0</v>
      </c>
      <c r="AW15" s="246">
        <v>0</v>
      </c>
      <c r="AX15" s="246">
        <v>0</v>
      </c>
      <c r="AY15" s="246">
        <v>0</v>
      </c>
      <c r="AZ15" s="246">
        <v>0</v>
      </c>
      <c r="BA15" s="246">
        <v>0</v>
      </c>
      <c r="BB15" s="246">
        <v>0</v>
      </c>
      <c r="BC15" s="246">
        <v>0</v>
      </c>
      <c r="BD15" s="246">
        <v>0</v>
      </c>
      <c r="BE15" s="246">
        <v>0</v>
      </c>
      <c r="BF15" s="246">
        <v>0</v>
      </c>
      <c r="BG15" s="246">
        <v>0</v>
      </c>
      <c r="BH15" s="246">
        <v>0</v>
      </c>
      <c r="BI15" s="246">
        <v>0</v>
      </c>
      <c r="BJ15" s="246">
        <v>0</v>
      </c>
      <c r="BK15" s="246">
        <v>0</v>
      </c>
      <c r="BL15" s="246">
        <v>0</v>
      </c>
      <c r="BM15" s="246">
        <v>0</v>
      </c>
      <c r="BN15" s="246">
        <v>0</v>
      </c>
      <c r="BO15" s="246">
        <v>0</v>
      </c>
      <c r="BP15" s="246">
        <v>0</v>
      </c>
    </row>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2019-06-20T07:00:00+00:00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3C27E6D-C62D-47D7-A4A3-91D6EB62339F}">
  <ds:schemaRef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149ABD8B-F3EF-4776-BD59-37BFDE76DFB1}"/>
</file>

<file path=customXml/itemProps3.xml><?xml version="1.0" encoding="utf-8"?>
<ds:datastoreItem xmlns:ds="http://schemas.openxmlformats.org/officeDocument/2006/customXml" ds:itemID="{7FB64E40-F6BE-42BF-A75C-73CA8AF640B0}">
  <ds:schemaRefs>
    <ds:schemaRef ds:uri="http://schemas.microsoft.com/sharepoint/v3/contenttype/forms"/>
  </ds:schemaRefs>
</ds:datastoreItem>
</file>

<file path=customXml/itemProps4.xml><?xml version="1.0" encoding="utf-8"?>
<ds:datastoreItem xmlns:ds="http://schemas.openxmlformats.org/officeDocument/2006/customXml" ds:itemID="{7DC64BC3-4041-4FE5-A2A9-5CE82EB2E8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29</vt:i4>
      </vt:variant>
    </vt:vector>
  </HeadingPairs>
  <TitlesOfParts>
    <vt:vector size="40" baseType="lpstr">
      <vt:lpstr>Final Result</vt:lpstr>
      <vt:lpstr>Financial Assumptions</vt:lpstr>
      <vt:lpstr>Project Assumptions</vt:lpstr>
      <vt:lpstr>Income Statement (Results)</vt:lpstr>
      <vt:lpstr>Cash Flow Statement (Results)</vt:lpstr>
      <vt:lpstr>Revenue Requirement</vt:lpstr>
      <vt:lpstr>Plant Results</vt:lpstr>
      <vt:lpstr>Capital Results </vt:lpstr>
      <vt:lpstr>IRS DEPREC RATES</vt:lpstr>
      <vt:lpstr>Sheet1</vt:lpstr>
      <vt:lpstr>Results Calculation</vt:lpstr>
      <vt:lpstr>After_Tax_Cash_Discount</vt:lpstr>
      <vt:lpstr>AFUDC_Switch</vt:lpstr>
      <vt:lpstr>Capital_Escalation_Factor</vt:lpstr>
      <vt:lpstr>Equity_Discount_Rate</vt:lpstr>
      <vt:lpstr>Equity_Percent</vt:lpstr>
      <vt:lpstr>FIT_Tax_Rate</vt:lpstr>
      <vt:lpstr>Forecast_Period</vt:lpstr>
      <vt:lpstr>Insurance_Rate</vt:lpstr>
      <vt:lpstr>Levy_Rate</vt:lpstr>
      <vt:lpstr>'Final Result'!MACRS</vt:lpstr>
      <vt:lpstr>MACRS</vt:lpstr>
      <vt:lpstr>MACRS_TABLE</vt:lpstr>
      <vt:lpstr>pre_tax_WACC</vt:lpstr>
      <vt:lpstr>'Cash Flow Statement (Results)'!Print_Area</vt:lpstr>
      <vt:lpstr>'Final Result'!Print_Area</vt:lpstr>
      <vt:lpstr>'Income Statement (Results)'!Print_Area</vt:lpstr>
      <vt:lpstr>'Cash Flow Statement (Results)'!Print_Titles</vt:lpstr>
      <vt:lpstr>'Income Statement (Results)'!Print_Titles</vt:lpstr>
      <vt:lpstr>Project_Description</vt:lpstr>
      <vt:lpstr>PropertyTax_Rate</vt:lpstr>
      <vt:lpstr>Rate_Base_Used</vt:lpstr>
      <vt:lpstr>Rate_Case_Lag__yrs</vt:lpstr>
      <vt:lpstr>Regulation_Flag</vt:lpstr>
      <vt:lpstr>Requlated_scenario</vt:lpstr>
      <vt:lpstr>Revenue_Taxes</vt:lpstr>
      <vt:lpstr>Start_Year</vt:lpstr>
      <vt:lpstr>Tax_Life</vt:lpstr>
      <vt:lpstr>WACC</vt:lpstr>
      <vt:lpstr>Wieghted_Cost_of_Interest</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Bob Williams</dc:creator>
  <cp:lastModifiedBy>Steele, David S. (BEL)</cp:lastModifiedBy>
  <cp:lastPrinted>2016-11-15T00:19:49Z</cp:lastPrinted>
  <dcterms:created xsi:type="dcterms:W3CDTF">2012-12-03T22:53:11Z</dcterms:created>
  <dcterms:modified xsi:type="dcterms:W3CDTF">2019-06-19T17:06:13Z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BExAnalyzer_OldName">
    <vt:lpwstr>Bellingham Service Center Renovation Amend 1_Financial Analysis.xlsx</vt:lpwstr>
  </property>
  <property fmtid="{D5CDD505-2E9C-101B-9397-08002B2CF9AE}" pid="4" name="_docset_NoMedatataSyncRequired">
    <vt:lpwstr>False</vt:lpwstr>
  </property>
  <property fmtid="{D5CDD505-2E9C-101B-9397-08002B2CF9AE}" pid="5" name="IsEFSEC">
    <vt:bool>false</vt:bool>
  </property>
</Properties>
</file>